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010" tabRatio="597" activeTab="0"/>
  </bookViews>
  <sheets>
    <sheet name="สรุปรับ - จ่าย (งบดำเนินงาน)" sheetId="1" r:id="rId1"/>
    <sheet name="งบกลาง (เงินกันไว้เบิกเหลื่อมปี" sheetId="2" r:id="rId2"/>
    <sheet name="งบกลาง (เงินกันไว้เบิกเหลื่ (2)" sheetId="3" r:id="rId3"/>
    <sheet name="งบลงทุน (เงินกันไว้เบิกเหลื่อม " sheetId="4" r:id="rId4"/>
    <sheet name="งบลงทุน (เงินกันไว้เบิกเหลื (2)" sheetId="5" r:id="rId5"/>
    <sheet name="งบดำเนินงาน (นายจ้าง)" sheetId="6" r:id="rId6"/>
    <sheet name="งบดำเนินงานค.ต.ส." sheetId="7" r:id="rId7"/>
    <sheet name="งบดำเนินงานพ.ต.ส." sheetId="8" r:id="rId8"/>
    <sheet name="งบดำเนินงาน(P4P)" sheetId="9" r:id="rId9"/>
    <sheet name="งบดำเนินงาน(ค่าเช่าบ้าน)" sheetId="10" r:id="rId10"/>
    <sheet name="งบดำเนินงาน (ค่าเช่าที่ดิน)" sheetId="11" r:id="rId11"/>
    <sheet name="งบดำเนินงาน (งานนิติเวช)" sheetId="12" r:id="rId12"/>
    <sheet name="งบดำเนินงาน (ศูนพึ่งได้)" sheetId="13" r:id="rId13"/>
    <sheet name="งบดำเนินงาน (ราชทัณฑ์ปันสุข)" sheetId="14" r:id="rId14"/>
    <sheet name="เงินอุดหนุน (พระเทพฯ)" sheetId="15" r:id="rId15"/>
    <sheet name="งบกลาง (ค่าตอบแทน พนร.เฉพาะกิจ)" sheetId="16" r:id="rId16"/>
    <sheet name="งบกลาง (ประกันสังคมนายจ้าง)" sheetId="17" r:id="rId17"/>
    <sheet name="งบกลาง (กองทุนเงินทดแทน)" sheetId="18" r:id="rId18"/>
    <sheet name="งบดำเนินงาน (จัดการขยะ)" sheetId="19" r:id="rId19"/>
    <sheet name="งบลงทุน (รายจ่ายเงินกู้ครุภัณฑ)" sheetId="20" r:id="rId20"/>
    <sheet name="งบกลาง (พ.ต.ส.)งวดที่ 10" sheetId="21" r:id="rId21"/>
    <sheet name="งบกลาง (P4P)" sheetId="22" r:id="rId22"/>
    <sheet name="งบลงทุน (รายจ่ายเงินก้สิ่งก่อสร" sheetId="23" r:id="rId23"/>
    <sheet name="Sheet1" sheetId="24" r:id="rId24"/>
  </sheets>
  <definedNames>
    <definedName name="_xlnm.Print_Titles" localSheetId="21">'งบกลาง (P4P)'!$1:$6</definedName>
    <definedName name="_xlnm.Print_Titles" localSheetId="17">'งบกลาง (กองทุนเงินทดแทน)'!$1:$7</definedName>
    <definedName name="_xlnm.Print_Titles" localSheetId="15">'งบกลาง (ค่าตอบแทน พนร.เฉพาะกิจ)'!$1:$7</definedName>
    <definedName name="_xlnm.Print_Titles" localSheetId="2">'งบกลาง (เงินกันไว้เบิกเหลื่ (2)'!$1:$7</definedName>
    <definedName name="_xlnm.Print_Titles" localSheetId="1">'งบกลาง (เงินกันไว้เบิกเหลื่อมปี'!$1:$7</definedName>
    <definedName name="_xlnm.Print_Titles" localSheetId="16">'งบกลาง (ประกันสังคมนายจ้าง)'!$1:$7</definedName>
    <definedName name="_xlnm.Print_Titles" localSheetId="20">'งบกลาง (พ.ต.ส.)งวดที่ 10'!$1:$6</definedName>
    <definedName name="_xlnm.Print_Titles" localSheetId="10">'งบดำเนินงาน (ค่าเช่าที่ดิน)'!$1:$7</definedName>
    <definedName name="_xlnm.Print_Titles" localSheetId="11">'งบดำเนินงาน (งานนิติเวช)'!$1:$7</definedName>
    <definedName name="_xlnm.Print_Titles" localSheetId="18">'งบดำเนินงาน (จัดการขยะ)'!$1:$7</definedName>
    <definedName name="_xlnm.Print_Titles" localSheetId="5">'งบดำเนินงาน (นายจ้าง)'!$1:$7</definedName>
    <definedName name="_xlnm.Print_Titles" localSheetId="13">'งบดำเนินงาน (ราชทัณฑ์ปันสุข)'!$1:$7</definedName>
    <definedName name="_xlnm.Print_Titles" localSheetId="12">'งบดำเนินงาน (ศูนพึ่งได้)'!$1:$7</definedName>
    <definedName name="_xlnm.Print_Titles" localSheetId="8">'งบดำเนินงาน(P4P)'!$1:$7</definedName>
    <definedName name="_xlnm.Print_Titles" localSheetId="9">'งบดำเนินงาน(ค่าเช่าบ้าน)'!$1:$7</definedName>
    <definedName name="_xlnm.Print_Titles" localSheetId="6">'งบดำเนินงานค.ต.ส.'!$1:$7</definedName>
    <definedName name="_xlnm.Print_Titles" localSheetId="7">'งบดำเนินงานพ.ต.ส.'!$1:$7</definedName>
    <definedName name="_xlnm.Print_Titles" localSheetId="4">'งบลงทุน (เงินกันไว้เบิกเหลื (2)'!$1:$7</definedName>
    <definedName name="_xlnm.Print_Titles" localSheetId="3">'งบลงทุน (เงินกันไว้เบิกเหลื่อม '!$1:$7</definedName>
    <definedName name="_xlnm.Print_Titles" localSheetId="19">'งบลงทุน (รายจ่ายเงินกู้ครุภัณฑ)'!$1:$7</definedName>
    <definedName name="_xlnm.Print_Titles" localSheetId="14">'เงินอุดหนุน (พระเทพฯ)'!$1:$7</definedName>
  </definedNames>
  <calcPr fullCalcOnLoad="1"/>
</workbook>
</file>

<file path=xl/sharedStrings.xml><?xml version="1.0" encoding="utf-8"?>
<sst xmlns="http://schemas.openxmlformats.org/spreadsheetml/2006/main" count="1519" uniqueCount="460">
  <si>
    <t>พ.ศ.....................</t>
  </si>
  <si>
    <t>เดือน</t>
  </si>
  <si>
    <t>วันที่</t>
  </si>
  <si>
    <t>ที่เอกสาร</t>
  </si>
  <si>
    <t>รายการ</t>
  </si>
  <si>
    <t>เพิ่ม</t>
  </si>
  <si>
    <t>ผูกพัน</t>
  </si>
  <si>
    <t>กันไว้เบิก</t>
  </si>
  <si>
    <t>เบิก</t>
  </si>
  <si>
    <t>คงเหลือ</t>
  </si>
  <si>
    <t>เงินประจำงวด</t>
  </si>
  <si>
    <t>ค่าเช่าบ้าน</t>
  </si>
  <si>
    <t>แบบ 2221</t>
  </si>
  <si>
    <t>ตุลาคม</t>
  </si>
  <si>
    <t xml:space="preserve">                                             ทะเบียนคุมเงินประจำงวดส่วนจังหวัด</t>
  </si>
  <si>
    <t>พฤศจิกายน</t>
  </si>
  <si>
    <t>เงิน พ.ต.ส.</t>
  </si>
  <si>
    <t>วางฎีกาเบิกเงิน</t>
  </si>
  <si>
    <t>รวมเดือนนี้</t>
  </si>
  <si>
    <t>รวมแต่ต้นปี</t>
  </si>
  <si>
    <t>ยอดยกมา</t>
  </si>
  <si>
    <t>รวมเดือนนื้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</si>
  <si>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</si>
  <si>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</si>
  <si>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</si>
  <si>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</si>
  <si>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</si>
  <si>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</si>
  <si>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</si>
  <si>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</si>
  <si>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</si>
  <si>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</si>
  <si>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 xml:space="preserve">ค่าตอบแทนกำลังคน(คตส) </t>
  </si>
  <si>
    <t>ค่าตอบแทนชันสูตรพลิกศพและค่าวัสดุงานนิติเวช</t>
  </si>
  <si>
    <t>ค่าตอบแทนกำลังคนด้านสาธารณสุข(P4P)</t>
  </si>
  <si>
    <t>รวม</t>
  </si>
  <si>
    <t>% เบิกจ่าย</t>
  </si>
  <si>
    <t>พัฒนาระบบบริการปฐมภูมิให้มีคุณภาพมาตรฐาน</t>
  </si>
  <si>
    <r>
      <t xml:space="preserve">แผนงาน : </t>
    </r>
    <r>
      <rPr>
        <sz val="16"/>
        <rFont val="Angsana New"/>
        <family val="1"/>
      </rPr>
      <t>บุคลากรภาครัฐ</t>
    </r>
  </si>
  <si>
    <r>
      <t xml:space="preserve">ผลผลิต  :  </t>
    </r>
    <r>
      <rPr>
        <sz val="16"/>
        <rFont val="Angsana New"/>
        <family val="1"/>
      </rPr>
      <t>รายการค่าใช้จ่ายบุคลากรภาครัฐ พัฒนาด้านสาธารณสุขและสร้างเสริมสุขภาพเชิงรุก (รหัสผลผลิต 2100214028000000)</t>
    </r>
    <r>
      <rPr>
        <b/>
        <sz val="16"/>
        <rFont val="Angsana New"/>
        <family val="1"/>
      </rPr>
      <t xml:space="preserve">             </t>
    </r>
  </si>
  <si>
    <t>รับโอนเงินค่าตอบแทนสำหรับตำแหน่งที่มีเหตุพิเศษ (ค.ต.ส.)</t>
  </si>
  <si>
    <t>สธ 0206.02/ว421</t>
  </si>
  <si>
    <t>รับโอนเงินค่าตอบแทนกำลังคนด้านสาธารณสุข - งวดที่ 1</t>
  </si>
  <si>
    <t>สธ 0206.02/ว425</t>
  </si>
  <si>
    <t>รับโอนเงินเพิ่มสำหรับตำแหน่งที่มีเหตุพิเศษของผู้ปฏิบัติงาน</t>
  </si>
  <si>
    <t>ด้านการสาธารณสุข (พ.ต.ส.) - งวดที่ 1</t>
  </si>
  <si>
    <r>
      <t xml:space="preserve">แผนงาน : </t>
    </r>
    <r>
      <rPr>
        <sz val="16"/>
        <rFont val="Angsana New"/>
        <family val="1"/>
      </rPr>
      <t>พื้นฐานด้านการพัฒนาและเสริมสร้างศักยภาพทรัพยากรมนุษย์</t>
    </r>
  </si>
  <si>
    <t>รับโอนเงินค่าเช่าทรัพย์สิน</t>
  </si>
  <si>
    <t>รับโอนเงินค่าเช่าบ้าน</t>
  </si>
  <si>
    <r>
      <t xml:space="preserve">แผนงาน : </t>
    </r>
    <r>
      <rPr>
        <sz val="16"/>
        <rFont val="Angsana New"/>
        <family val="1"/>
      </rPr>
      <t>ยุทธศาสตร์เสริมสร้างให้คนมีสุขภาวะที่ดี</t>
    </r>
  </si>
  <si>
    <t>รับโอนเงินค่าประกันสังคมส่วนของนายจ้าง</t>
  </si>
  <si>
    <t>รับโอนเงินสนับสนุนการบริหารจัดการขยะและสิ่งแวดล้อม</t>
  </si>
  <si>
    <t>ในสถานบริการธารณสุข สังกัดสป.สาธารณสุข</t>
  </si>
  <si>
    <t>รับโอนเงินค่าตอบแทนและบริหารจัดการงานนิติเวช</t>
  </si>
  <si>
    <t>10/64</t>
  </si>
  <si>
    <t>19/64</t>
  </si>
  <si>
    <t>รับโอนเงินโครงการพัฒนาความร่วมมือเครือข่ายศูนย์</t>
  </si>
  <si>
    <t xml:space="preserve">การเรียนการสอนสำหรับเด็กป่วยและด้อยโอกาส </t>
  </si>
  <si>
    <t>ในโรงพยาบาลด้วยเทคโนโลยีสารสนเทศอย่างต่อเนื่อง</t>
  </si>
  <si>
    <t>การจัดการบริการคลินิกพิเศษนอกเวลาราชการ</t>
  </si>
  <si>
    <r>
      <t xml:space="preserve">ผลผลิต  :  </t>
    </r>
    <r>
      <rPr>
        <sz val="16"/>
        <rFont val="Angsana New"/>
        <family val="1"/>
      </rPr>
      <t>ประชาชนได้รับการดูแลสุขภาพและมีพฤติกรรมสุขภาพที่ถูกต้อง  (รหัสผลผลิต 2100236024000000)</t>
    </r>
    <r>
      <rPr>
        <b/>
        <sz val="16"/>
        <rFont val="Angsana New"/>
        <family val="1"/>
      </rPr>
      <t xml:space="preserve">             </t>
    </r>
  </si>
  <si>
    <t>รับโอนเงินสนับสนุนการดำเนินการป้องกันและแก้ไข</t>
  </si>
  <si>
    <t>ปัญหาความรุนแรงในเด็กและสตรี</t>
  </si>
  <si>
    <t>43/64</t>
  </si>
  <si>
    <t>การดำเนินการป้องกันและแก้ไขปัญหาความรุนแรงในเด็กและสตรี (OSCC)</t>
  </si>
  <si>
    <t>เงินสนับสนุนบริหารจัดการขยะและสิ่งแวดล้อมแบบบูรณาการ</t>
  </si>
  <si>
    <r>
      <t xml:space="preserve">ผลผลิต  :  </t>
    </r>
    <r>
      <rPr>
        <sz val="16"/>
        <rFont val="Angsana New"/>
        <family val="1"/>
      </rPr>
      <t>โครงการพัฒนาระบบบริการสุขภาพ (รหัสผลผลิต 21002330A0000000)</t>
    </r>
    <r>
      <rPr>
        <b/>
        <sz val="16"/>
        <rFont val="Angsana New"/>
        <family val="1"/>
      </rPr>
      <t xml:space="preserve">             </t>
    </r>
  </si>
  <si>
    <t xml:space="preserve"> </t>
  </si>
  <si>
    <r>
      <t xml:space="preserve">แผนงาน :  </t>
    </r>
    <r>
      <rPr>
        <sz val="16"/>
        <rFont val="Angsana New"/>
        <family val="1"/>
      </rPr>
      <t>การแพทย์และการสาธารณสุข เพื่อแก้ไขปัญหาการระบาดของโรคติดเชื้อไวรัสโคโรนา 2019</t>
    </r>
  </si>
  <si>
    <r>
      <rPr>
        <b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:  (รหัสกิจกรรม Pxxxx)</t>
    </r>
  </si>
  <si>
    <t>รับโอนเงินค่าเครื่องช่วยหายใจชนิดควบคุมปริมาตรและ</t>
  </si>
  <si>
    <t>วางฎีกาเบิกเงิน - ค่าใช้จ่ายในการประชุม</t>
  </si>
  <si>
    <t>สธ 0206.02/ว157</t>
  </si>
  <si>
    <t>ลว.12 พ.ค.2564</t>
  </si>
  <si>
    <r>
      <t xml:space="preserve">ผลผลิต  :  </t>
    </r>
    <r>
      <rPr>
        <sz val="16"/>
        <rFont val="Angsana New"/>
        <family val="1"/>
      </rPr>
      <t>โครงการพัฒนาระบบบริการสุขภาพ รองรับสถานการณ์การแพร่ระบาดของโรคติดเชื่อไวรัสโรโรนา 2019 ของหน่วยงานภูมิภาค สป.สาธารณสุข</t>
    </r>
  </si>
  <si>
    <t xml:space="preserve">รับโอนเงินค่าปรับปรุงระบบปรับอากาศและระบายอากาศ </t>
  </si>
  <si>
    <t>สำหรับห้องทันตกรรมปลอดเชื้อ จำนวน 4  ห้อง</t>
  </si>
  <si>
    <r>
      <t xml:space="preserve">งบลงทุน :  ค่าที่ดินและสิ่งก่อสร้าง </t>
    </r>
    <r>
      <rPr>
        <sz val="16"/>
        <rFont val="Angsana New"/>
        <family val="1"/>
      </rPr>
      <t xml:space="preserve"> 6441320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ปีงบประมาณ 2564</t>
    </r>
  </si>
  <si>
    <r>
      <t xml:space="preserve">แผนงาน : </t>
    </r>
    <r>
      <rPr>
        <sz val="16"/>
        <rFont val="Angsana New"/>
        <family val="1"/>
      </rPr>
      <t xml:space="preserve"> ยุทธศาสตร์เสริมสร้างให้คนมีสุขภาวะที่ดี</t>
    </r>
  </si>
  <si>
    <r>
      <t>โครงการ  :  พระราชดำริและเฉลิมพระเกียรติ</t>
    </r>
    <r>
      <rPr>
        <sz val="16"/>
        <rFont val="Angsana New"/>
        <family val="1"/>
      </rPr>
      <t xml:space="preserve"> (รหัสผลผลิต 2100233097000000)</t>
    </r>
    <r>
      <rPr>
        <b/>
        <sz val="16"/>
        <rFont val="Angsana New"/>
        <family val="1"/>
      </rPr>
      <t xml:space="preserve">             </t>
    </r>
  </si>
  <si>
    <t>รับโอนเงินเพื่อพัฒนาระบบบริการสาธารณสุขสำหรับ</t>
  </si>
  <si>
    <t>ผู้ต้องขังในเรือนจำ</t>
  </si>
  <si>
    <r>
      <t xml:space="preserve">แผนงาน : </t>
    </r>
    <r>
      <rPr>
        <sz val="16"/>
        <rFont val="Angsana New"/>
        <family val="1"/>
      </rPr>
      <t xml:space="preserve"> บริหารเพื่อรองรับกรณีฉุกเฉินหรือจำเป็น</t>
    </r>
  </si>
  <si>
    <r>
      <rPr>
        <b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:  (รหัสกิจกรรม 90909xxxx00000)</t>
    </r>
  </si>
  <si>
    <t>วางฎีกาเบิกเงิน - ค่าวัสดุงานบ้านงานครัว ร้านของเล่นของใช้</t>
  </si>
  <si>
    <t>112/64</t>
  </si>
  <si>
    <t>วางฎีกาเบิกเงิน - ค่าวัสดุสำนักงาน ร้านทวีมิตรศึกษาภัณฑ์</t>
  </si>
  <si>
    <t>และยั่งยืน ตามแนวพระราชดำริสมเด็จพระเทพฯ -งวดที่ 1</t>
  </si>
  <si>
    <t>และยั่งยืน ตามแนวพระราชดำริสมเด็จพระเทพฯ - งวดที่ 3</t>
  </si>
  <si>
    <t>150/64</t>
  </si>
  <si>
    <t>วางฎีกาเบิกเงิน - ค่าเช่าที่ดิน</t>
  </si>
  <si>
    <t>สธ 0206.03/ว301</t>
  </si>
  <si>
    <t>ลว.19 ส.ค.2564</t>
  </si>
  <si>
    <t>โอนเงินเหลือจ่ายคืน</t>
  </si>
  <si>
    <t xml:space="preserve">งบดำเนินงาน ณ 31 ตุลาคม 2564 </t>
  </si>
  <si>
    <t>ค่าตอบแทนบุคลากรนอกเหนือภารกิจปกติ สำหรับเจ้าหน้าที่ที่ปฏิบัติงานให้บริการ</t>
  </si>
  <si>
    <t>ฉีดวัคซีนป้องกันโรคติดเชื้อไวรัสโคโรนา 2019 (COVID-19)</t>
  </si>
  <si>
    <t>รับ</t>
  </si>
  <si>
    <t>จ่าย</t>
  </si>
  <si>
    <t>งบกลาง เงินกันไว้เบิกเหลื่อมปี 2564 ณ 31 ตุลาคม 2564</t>
  </si>
  <si>
    <t>เงินอุดหนุน ณ 31 ตุลาคม 2564</t>
  </si>
  <si>
    <t>โครงการพัฒนาความร่วมมือเครือข่ายศูนย์การเรียนการสอนสำหรับเด็กป่วยและ</t>
  </si>
  <si>
    <t>ด้อยโอกาส ในโรงพยาบาลด้วยเทคโนโลยีสารสนเทศอย่างต่อเนื่องและยั่งยืน</t>
  </si>
  <si>
    <t>ตามแนวพระราชดำริสมเด็จพระเทพฯ</t>
  </si>
  <si>
    <t>เงินสมทบประกันสังคมส่วนนายจ้างและกองทุนทดแทน, 14604</t>
  </si>
  <si>
    <r>
      <t xml:space="preserve">งบกลาง :  </t>
    </r>
    <r>
      <rPr>
        <sz val="16"/>
        <rFont val="Angsana New"/>
        <family val="1"/>
      </rPr>
      <t>แหล่งของเงิน 6410220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ปีงบประมาณ 2564 (เงินกันไว้เบิกเหลื่อมปี)</t>
    </r>
  </si>
  <si>
    <t>เงินกันงบเงินกู้</t>
  </si>
  <si>
    <t>ครุภัณพ์ยานพาหนะ</t>
  </si>
  <si>
    <t>ปรับปรุงระบบระบายอากาศทันตกรรม</t>
  </si>
  <si>
    <r>
      <t xml:space="preserve">โครงการ  :  </t>
    </r>
    <r>
      <rPr>
        <sz val="16"/>
        <rFont val="Angsana New"/>
        <family val="1"/>
      </rPr>
      <t>ค่าใช้จ่ายในการบรรเทา แก้ไขปัญหา และเยียวยา ผู้ที่ได้รับผลกระทบจากการระบาดของโรคติเชื้อไวรัสโคโรนา 2019 (</t>
    </r>
    <r>
      <rPr>
        <sz val="16"/>
        <rFont val="Angsana New"/>
        <family val="1"/>
      </rPr>
      <t>รหัสผลผลิต 909096204300097)</t>
    </r>
    <r>
      <rPr>
        <b/>
        <sz val="16"/>
        <rFont val="Angsana New"/>
        <family val="1"/>
      </rPr>
      <t xml:space="preserve">             </t>
    </r>
  </si>
  <si>
    <t>สธ 0206.02/ว419</t>
  </si>
  <si>
    <t>ลว.18 ต.ค.2564</t>
  </si>
  <si>
    <t>รับโอนเงินค่าตอบแทนบุคลากรนอกเหนือภารกิจปกติ</t>
  </si>
  <si>
    <t>สำหรับเจ้าหน้าที่ที่ปฏิบัติงานให้บริการฉีดวัคซีนป้องกันโรค</t>
  </si>
  <si>
    <t>ติดเชื้อไวรัสโคโรนา 2019 (COVID-19) นอกสถานพยาบาล</t>
  </si>
  <si>
    <r>
      <t xml:space="preserve">กิจกรรม : </t>
    </r>
    <r>
      <rPr>
        <sz val="16"/>
        <rFont val="Angsana New"/>
        <family val="1"/>
      </rPr>
      <t>ค่าใช้จ่ายบุคลากรในการพัฒนาระบบบริหารจัดการทรัพยากรด้านสุขภาพ (รหัสกิจกรรม 210027600Q2794)</t>
    </r>
  </si>
  <si>
    <t>ลว.20 ต.ค.2564</t>
  </si>
  <si>
    <t>รับโอนเงินกองทุนทดแทน</t>
  </si>
  <si>
    <r>
      <t xml:space="preserve">กิจกรรม : </t>
    </r>
    <r>
      <rPr>
        <sz val="16"/>
        <rFont val="Angsana New"/>
        <family val="1"/>
      </rPr>
      <t>ค่าใช้จ่ายบุคลากรในการพัฒนาระบบบริหารจัดการทรัพยากรด้านสุขภาพ (รหัส</t>
    </r>
    <r>
      <rPr>
        <b/>
        <sz val="16"/>
        <rFont val="Angsana New"/>
        <family val="1"/>
      </rPr>
      <t xml:space="preserve">กิจกรรม </t>
    </r>
    <r>
      <rPr>
        <sz val="16"/>
        <rFont val="Angsana New"/>
        <family val="1"/>
      </rPr>
      <t>210027600Q2794)</t>
    </r>
  </si>
  <si>
    <t>งบดำเนินงาน :  แหล่งของเงิน 65112xx                                                                                                                                                                                                                ปีงบประมาณ 2565</t>
  </si>
  <si>
    <r>
      <rPr>
        <b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: ค่าใช้จ่ายบุคลากรในการพัฒนาระบบบริหารจัดการทรัพยากรด้านสุขภาพ (รหัสกิจกรรม 21002XXXXQ2794)</t>
    </r>
  </si>
  <si>
    <t>ลว.26 ต.ค.2564</t>
  </si>
  <si>
    <r>
      <t xml:space="preserve">ผลผลิต  :  </t>
    </r>
    <r>
      <rPr>
        <sz val="16"/>
        <rFont val="Angsana New"/>
        <family val="1"/>
      </rPr>
      <t>โครงการพระราชดำริและเฉลิมพระเกียรติ (รหัสผลผลิต 2100233097500007)</t>
    </r>
    <r>
      <rPr>
        <b/>
        <sz val="16"/>
        <rFont val="Angsana New"/>
        <family val="1"/>
      </rPr>
      <t xml:space="preserve">             </t>
    </r>
  </si>
  <si>
    <r>
      <rPr>
        <b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: สนับสนุนการดำเนินงานตามโครงการพระราชดำริและเฉลิมพระเกียรติ (รหัสกิจกรรม 21002xxxxQ2804)</t>
    </r>
  </si>
  <si>
    <r>
      <t xml:space="preserve">เงินอุดหนุน :  </t>
    </r>
    <r>
      <rPr>
        <sz val="16"/>
        <rFont val="Angsana New"/>
        <family val="1"/>
      </rPr>
      <t>แหล่งของเงิน 6511410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ปีงบประมาณ 2565</t>
    </r>
  </si>
  <si>
    <t>สธ 0206.03/ว430</t>
  </si>
  <si>
    <t>ลว.28 ต.ค.2564</t>
  </si>
  <si>
    <t>สธ 0206.03/ว436</t>
  </si>
  <si>
    <t>ลว.1 พ.ย.2564</t>
  </si>
  <si>
    <t>8/64</t>
  </si>
  <si>
    <t>วางฎีกาเบิกเงิน เดือนตุลาคม 2564 (2.5%)</t>
  </si>
  <si>
    <t>9/64</t>
  </si>
  <si>
    <t>วางฎีกาเบิกเงิน เดือนพฤศจิกายน 2564 (2.5%)</t>
  </si>
  <si>
    <t xml:space="preserve">วางฎีกาเบิกเงินเดือนตุลาคม - พฤศจิกายน 2564 </t>
  </si>
  <si>
    <r>
      <t xml:space="preserve">งบดำเนินงาน : </t>
    </r>
    <r>
      <rPr>
        <sz val="16"/>
        <rFont val="Angsana New"/>
        <family val="1"/>
      </rPr>
      <t xml:space="preserve"> แหล่งของเงิน 65112XX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ปีงบประมาณ 2565</t>
    </r>
  </si>
  <si>
    <t>11/65</t>
  </si>
  <si>
    <t>วางฎีกาเบิกเงินค่าเช่าบ้านเดือนตุลาคม - พฤศจิกายน 2564</t>
  </si>
  <si>
    <r>
      <t xml:space="preserve">งบดำเนินงาน :  </t>
    </r>
    <r>
      <rPr>
        <sz val="16"/>
        <rFont val="Angsana New"/>
        <family val="1"/>
      </rPr>
      <t xml:space="preserve">แหล่งของเงิน 65112XX            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             ปีงบประมาณ 2565</t>
    </r>
  </si>
  <si>
    <t>12/65</t>
  </si>
  <si>
    <t>13/65</t>
  </si>
  <si>
    <t>วางฎีกาเบิกเงิน เดือนตุลาคม 2564</t>
  </si>
  <si>
    <t xml:space="preserve">วางฎีกาเบิกเงิน พฤศจิกายน 2564 </t>
  </si>
  <si>
    <r>
      <t xml:space="preserve">งบดำเนินงาน :  </t>
    </r>
    <r>
      <rPr>
        <sz val="16"/>
        <rFont val="Angsana New"/>
        <family val="1"/>
      </rPr>
      <t xml:space="preserve">แหล่งของเงิน 6511210        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ปีงบประมาณ 2565</t>
    </r>
  </si>
  <si>
    <t>18/65</t>
  </si>
  <si>
    <r>
      <t xml:space="preserve">งบลงทุน :  ค่าที่ดินและสิ่งก่อสร้าง </t>
    </r>
    <r>
      <rPr>
        <sz val="16"/>
        <rFont val="Angsana New"/>
        <family val="1"/>
      </rPr>
      <t xml:space="preserve"> 6441320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ปีงบประมาณ 2564 (เงินกันไว้เบิกเหลื่อมปี)</t>
    </r>
  </si>
  <si>
    <t>20/65</t>
  </si>
  <si>
    <t>วางฎีกาเบิกเงิน - ปรับปรุงระบบปรับอากาศและระบายอากาศ</t>
  </si>
  <si>
    <t>บ.แอโร อินเทลลิเจนซ์ จก.</t>
  </si>
  <si>
    <t>บ.แหลมทองแอร์ ซัพพลาย จก.</t>
  </si>
  <si>
    <r>
      <t xml:space="preserve">งบลงทุน :  </t>
    </r>
    <r>
      <rPr>
        <sz val="16"/>
        <rFont val="Angsana New"/>
        <family val="1"/>
      </rPr>
      <t>ค่าครุภัณฑ์วิทยาศาสตร์หรือการแพทย์ แหล่งของเงิน 6441310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ปีงบประมาณ 2564 (เงินกันไว้เบิกเหลื่อมปี)</t>
    </r>
  </si>
  <si>
    <t>19/65</t>
  </si>
  <si>
    <t>วางฎีกาเบิกเงิน - ค่าครุภัณฑ์ยานพาหนะ</t>
  </si>
  <si>
    <t>บ.ไทยออโต้ ฟลีท จก.</t>
  </si>
  <si>
    <t xml:space="preserve">งบดำเนินงาน ณ 30 พฤศจิกายน 2564 </t>
  </si>
  <si>
    <t>โครงการศูนย์พึ่งได้</t>
  </si>
  <si>
    <t>งบกลาง เงินกันไว้เบิกเหลื่อมปี 2564 ณ 30 พฤศจิกายน 2564</t>
  </si>
  <si>
    <t>โครงการราชทัณฑ์ปันสุข</t>
  </si>
  <si>
    <t>วางฎีกาเบิกเงิน ค่าตอบแทนฉีดวัคซีนนอกสถานพยาบาล</t>
  </si>
  <si>
    <t>ส่งคืนเงินส่วนที่เหลือคืนกองคลัง สป.สาธารณสุข</t>
  </si>
  <si>
    <t>24/64</t>
  </si>
  <si>
    <t>วางฎีกาเบิกเงิน เดือนธันวาคม 2564 (5%)</t>
  </si>
  <si>
    <t>วางฎีกาเบิกเงินค่าเช่าบ้านเดือนธันวาคม 2564</t>
  </si>
  <si>
    <t>ส่งคืนเงินค่าเช่าบ้านคืน กองบริหารสาธารณสุข</t>
  </si>
  <si>
    <r>
      <t xml:space="preserve">กิจกรรม : </t>
    </r>
    <r>
      <rPr>
        <sz val="16"/>
        <rFont val="Angsana New"/>
        <family val="1"/>
      </rPr>
      <t>ค่าใช้จ่ายบุคลากรในการพัฒนาระบบบริหารจัดการทรัพยากรด้านสุขภาพ (รหัสกิจกรรม 21002xxxxQ2794)</t>
    </r>
  </si>
  <si>
    <t>สธ 0206.02/ว453</t>
  </si>
  <si>
    <t>ลว.12  พ.ย.2564</t>
  </si>
  <si>
    <r>
      <t xml:space="preserve">ผลผลิต  :  </t>
    </r>
    <r>
      <rPr>
        <sz val="16"/>
        <rFont val="Angsana New"/>
        <family val="1"/>
      </rPr>
      <t>นโยบายยุทธศาสตร์ ระบบบริหารจัดการทรัพยากรด้านสุขภาพที่มีคุณภาพและประสิทธิภาพ (รหัสผลผลิต 2100236008000000)</t>
    </r>
    <r>
      <rPr>
        <b/>
        <sz val="16"/>
        <rFont val="Angsana New"/>
        <family val="1"/>
      </rPr>
      <t xml:space="preserve">             </t>
    </r>
  </si>
  <si>
    <r>
      <t>กิจกรรม :</t>
    </r>
    <r>
      <rPr>
        <sz val="16"/>
        <rFont val="Angsana New"/>
        <family val="1"/>
      </rPr>
      <t xml:space="preserve"> พัฒนาระบบบริการจัดการทรัพยากรด้านสุขภาพ (รหัสกิจกรรม 21002xxxxQ2819)</t>
    </r>
  </si>
  <si>
    <r>
      <t xml:space="preserve">งบดำเนินงาน :  </t>
    </r>
    <r>
      <rPr>
        <sz val="16"/>
        <rFont val="Angsana New"/>
        <family val="1"/>
      </rPr>
      <t xml:space="preserve">แหล่งของเงิน 65112XX                                      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ปีงบประมาณ 2565</t>
    </r>
  </si>
  <si>
    <r>
      <t xml:space="preserve">งบดำเนินงาน :  </t>
    </r>
    <r>
      <rPr>
        <sz val="16"/>
        <rFont val="Angsana New"/>
        <family val="1"/>
      </rPr>
      <t>แหล่งของเงิน 6511210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ปีงบประมาณ 2565</t>
    </r>
  </si>
  <si>
    <t>สธ 0206.03/ว454</t>
  </si>
  <si>
    <t>ลว.12 พ.ย.2564</t>
  </si>
  <si>
    <r>
      <rPr>
        <b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: สนับสนุนการเสริมสร้างสุขภาพ เฝ้าระวัง ป้องกัน ควบคุมโรคและภัยสุขภาพ (รหัสกิจกรรม 21002xxxxQ2824)</t>
    </r>
  </si>
  <si>
    <r>
      <t xml:space="preserve">งบดำเนินงาน :  </t>
    </r>
    <r>
      <rPr>
        <sz val="16"/>
        <rFont val="Angsana New"/>
        <family val="1"/>
      </rPr>
      <t>แหล่งของเงิน 65112xx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     ปีงบประมาณ 2565</t>
    </r>
  </si>
  <si>
    <t>สธ 0206.03/ว468</t>
  </si>
  <si>
    <t>ลว. 19 พ.ย.2564</t>
  </si>
  <si>
    <r>
      <rPr>
        <b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: สนับสนุนการเสริมสร้างสุขภาพ เฝ้าระวัง ป้องกัน ควบคุมโรคและภัยสุขภาพ (รหัสกิจกรรม 21002xxxxQ2804)</t>
    </r>
  </si>
  <si>
    <r>
      <rPr>
        <b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: ให้บริการสุขภาพแก่กลุ่มเป้าหมายเฉพาะนอกระบบหลักประกันสุขภาพ (21002xxxxQ2812)</t>
    </r>
  </si>
  <si>
    <r>
      <t xml:space="preserve">งบดำเนินงาน :  </t>
    </r>
    <r>
      <rPr>
        <sz val="16"/>
        <rFont val="Angsana New"/>
        <family val="1"/>
      </rPr>
      <t>แหล่งของเงิน 65112xx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ปีงบประมาณ 2564</t>
    </r>
  </si>
  <si>
    <t>26/65</t>
  </si>
  <si>
    <t>วางฎีกาเบิกเงิน เดือนตุลาคม -พฤศจิกายน 2564</t>
  </si>
  <si>
    <t>ส่งคืน</t>
  </si>
  <si>
    <t>ค่าเช่าทรัพย์สิน(ค่าเช่าที่ดิน ปี2565)</t>
  </si>
  <si>
    <t xml:space="preserve">งบดำเนินงาน ณ 31 ธันวาคม 2564 </t>
  </si>
  <si>
    <t>งบกลาง เงินกันไว้เบิกเหลื่อมปี 2564 ณ 31 ธันวาคม 2564</t>
  </si>
  <si>
    <t>33/65</t>
  </si>
  <si>
    <t>วางฎีกาเบิกเงิน เดือนมกราคม 2565 (5%)</t>
  </si>
  <si>
    <t>34/65</t>
  </si>
  <si>
    <t>35/65</t>
  </si>
  <si>
    <t>วางฎีกาเบิกเงินค่าเช่าบ้านเดือนมกราคม 2565</t>
  </si>
  <si>
    <t>36/65</t>
  </si>
  <si>
    <t>วางฎีกาเบิกเงิน เดือนมกราคม 2565</t>
  </si>
  <si>
    <t>วางฎีกาเบิกเงิน เดือนพฤศจิกายน 2564</t>
  </si>
  <si>
    <t>38/65</t>
  </si>
  <si>
    <t>วางฎีกาเบิกเงินกองทุนทดแทน</t>
  </si>
  <si>
    <t>39/65</t>
  </si>
  <si>
    <t>วางฎีกาเบิกเงิน เดือนธันวาคม 2564</t>
  </si>
  <si>
    <t>40/65</t>
  </si>
  <si>
    <t xml:space="preserve">งบดำเนินงาน ณ 31 มกราคม 2565 </t>
  </si>
  <si>
    <t>งบกลาง เงินกันไว้เบิกเหลื่อมปี 2564 ณ 31 มกราคม 2565</t>
  </si>
  <si>
    <t>46/64</t>
  </si>
  <si>
    <t>วางฎีกาเบิกเงิน เดือนกุมภาพันธ์ 2565 (5%)</t>
  </si>
  <si>
    <t>47/65</t>
  </si>
  <si>
    <t>วางฎีกาเบิกเงินค่าเช่าบ้านเดือนกุมภาพันธ์ 2565</t>
  </si>
  <si>
    <t>48/65</t>
  </si>
  <si>
    <t>49/65</t>
  </si>
  <si>
    <t>50/65</t>
  </si>
  <si>
    <t>51/65</t>
  </si>
  <si>
    <t>เดือนตุลาคม 2564</t>
  </si>
  <si>
    <t>22/65</t>
  </si>
  <si>
    <r>
      <t xml:space="preserve">งบกลาง :  </t>
    </r>
    <r>
      <rPr>
        <sz val="16"/>
        <rFont val="Angsana New"/>
        <family val="1"/>
      </rPr>
      <t>แหล่งของเงิน 6410220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ปีงบประมาณ 2564 (เงินกันไว้เบิกเหลื่อมปี)</t>
    </r>
  </si>
  <si>
    <t>สธ 0206.02/ว47</t>
  </si>
  <si>
    <t>ลว.2 มี.ค.65</t>
  </si>
  <si>
    <t>รับโอนเงินค่าใช้จ่ายในการบริการฉีดวัคซีนให้แก่กลุ่ม</t>
  </si>
  <si>
    <t>บุคคลที่มีปัญหาสถานะและสิทธิ รวมทั้งผู้ที่ไม่ใช่ประชาชนไทย</t>
  </si>
  <si>
    <t>ในอัตราครั้งละ 40 บาท</t>
  </si>
  <si>
    <t>57/65</t>
  </si>
  <si>
    <t>วางฎีกาเบิกเงิน เดือนมีนาคม 2565 (5%)</t>
  </si>
  <si>
    <t>58/65</t>
  </si>
  <si>
    <t>วางฎีกาเบิกเงินค่าเช่าบ้านเดือนมีนาคม 2565</t>
  </si>
  <si>
    <t>59/65</t>
  </si>
  <si>
    <t>วางฎีกาเบิกเงิน เดือนกุมภาพันธ์ 2565</t>
  </si>
  <si>
    <t>60/65</t>
  </si>
  <si>
    <t>61/65</t>
  </si>
  <si>
    <t>62/65</t>
  </si>
  <si>
    <t>63/65</t>
  </si>
  <si>
    <t>64/65</t>
  </si>
  <si>
    <r>
      <t xml:space="preserve">งบกลาง เงินกันไว้เบิกเหลื่อมปี 2564 ณ </t>
    </r>
    <r>
      <rPr>
        <sz val="16"/>
        <color indexed="10"/>
        <rFont val="TH SarabunPSK"/>
        <family val="2"/>
      </rPr>
      <t>28 กุมภาพันธ์ 2565</t>
    </r>
  </si>
  <si>
    <t xml:space="preserve">งบดำเนินงาน ณ 28 กุมภาพันธ์ 2565 </t>
  </si>
  <si>
    <t>ยันยอดแล้วตรงกับนก</t>
  </si>
  <si>
    <t>ฉีดวัคซีนป้องกันโรคติดเชื้อไวรัสโคโรนา 2019 (COVID-19) นอกสถานพยาบาล</t>
  </si>
  <si>
    <r>
      <t xml:space="preserve">งบกลาง เงินกันไว้เบิกเหลื่อมปี 2564 ณ </t>
    </r>
    <r>
      <rPr>
        <sz val="16"/>
        <color indexed="10"/>
        <rFont val="TH SarabunPSK"/>
        <family val="2"/>
      </rPr>
      <t>31 มีนาคม 2565</t>
    </r>
  </si>
  <si>
    <t>ค่าใช้จ่ายในการบริการฉีดวัคซีนให้แก่กลุ่มบุคคลที่มีปัญหาสถานะและสิทธิ</t>
  </si>
  <si>
    <t>และสิทธิรวมทั้งผู้ที่ไม่ใช่ประชาชนไทย</t>
  </si>
  <si>
    <t>งบเงินกู้ ปี 2565</t>
  </si>
  <si>
    <t>ครุภัณฑ์การแพทย์ - 4 รายการ</t>
  </si>
  <si>
    <t>71/65</t>
  </si>
  <si>
    <t>วางฎีกาเบิกเงิน- ค่าบริการฉีดวัคซีน</t>
  </si>
  <si>
    <t>สธ 0206.02/ว1210</t>
  </si>
  <si>
    <t>ลว.21 มี.ค.2565</t>
  </si>
  <si>
    <t>เดือนพฤศจิกายน 2564</t>
  </si>
  <si>
    <t>72/65</t>
  </si>
  <si>
    <t>รับโอนเงินค่าตอบแทนกำลังคนด้านสาธารณสุข - งวดที่ 2</t>
  </si>
  <si>
    <t>สธ 0206.02/ว79</t>
  </si>
  <si>
    <t>ลว.31 มี.ค.2565</t>
  </si>
  <si>
    <t>งบดำเนินงาน ณ 31 มีนาคม 2565</t>
  </si>
  <si>
    <t>งบดำเนินงาน ณ 20 เมษายน 2565</t>
  </si>
  <si>
    <t>สธ 0206.02/ว82</t>
  </si>
  <si>
    <t>ลว.8 เม.ย.65</t>
  </si>
  <si>
    <t>ด้านการสาธารณสุข (พ.ต.ส.) - งวดที่ 2</t>
  </si>
  <si>
    <t>75/65</t>
  </si>
  <si>
    <t>วางฎีกาเบิกเงิน เดือนมีนาคม 2565</t>
  </si>
  <si>
    <t>76/65</t>
  </si>
  <si>
    <t>77/65</t>
  </si>
  <si>
    <t>วางฎีกาเบิกเงิน - ค่าวัสดุคอมพิวเตอร์ ร้านโน๊คบุ๊คเซ็นเตอร์</t>
  </si>
  <si>
    <t>78/65</t>
  </si>
  <si>
    <t>79/65</t>
  </si>
  <si>
    <t>วางฎีกาเบิกเงิน - ค่าวัสดุโฆษณาและเผยแพร่ ร้านโน๊คบุ๊คเซ็นเตอร์</t>
  </si>
  <si>
    <t>80/65</t>
  </si>
  <si>
    <t>81/65</t>
  </si>
  <si>
    <t>วางฎีกาเบิกเงิน - วัสดุการแพทย์ หจก.วีอาร์ ซัพพอร์ต</t>
  </si>
  <si>
    <r>
      <t xml:space="preserve">โครงการ  :  </t>
    </r>
    <r>
      <rPr>
        <sz val="16"/>
        <rFont val="Angsana New"/>
        <family val="1"/>
      </rPr>
      <t>ค่าใช้จ่ายในการบรรเทา แก้ไขปัญหา และเยียวยา ผู้ที่ได้รับผลกระทบจากการระบาดของโรคติเชื้อไวรัสโคโรนา 2019 (รหัสผลผลิต 90909620043000000173)</t>
    </r>
    <r>
      <rPr>
        <b/>
        <sz val="16"/>
        <rFont val="Angsana New"/>
        <family val="1"/>
      </rPr>
      <t xml:space="preserve">             </t>
    </r>
  </si>
  <si>
    <r>
      <rPr>
        <b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:  (รหัสกิจกรรม 90909000000000000)</t>
    </r>
  </si>
  <si>
    <t>สธ 0206.02/ว85</t>
  </si>
  <si>
    <t>ลว. 11 เม.ย.2565</t>
  </si>
  <si>
    <t>รับโอนเงินค่าตอบแทนของพนักงานราชการเฉพาะกิจ</t>
  </si>
  <si>
    <r>
      <t xml:space="preserve">โครงการ  :  </t>
    </r>
    <r>
      <rPr>
        <sz val="16"/>
        <rFont val="Angsana New"/>
        <family val="1"/>
      </rPr>
      <t>ค่าใช้จ่ายในการบรรเทา แก้ไขปัญหา และเยียวยา ผู้ที่ได้รับผลกระทบจากการระบาดของโรคติเชื้อไวรัสโคโรนา 2019 (รหัสผลผลิต 90909620043000000174)</t>
    </r>
    <r>
      <rPr>
        <b/>
        <sz val="16"/>
        <rFont val="Angsana New"/>
        <family val="1"/>
      </rPr>
      <t xml:space="preserve">             </t>
    </r>
  </si>
  <si>
    <t>รับโอนเงินค่าประกันสังคมของนายจ้างของพนักงานราชการ</t>
  </si>
  <si>
    <t>เฉพาะกิจ</t>
  </si>
  <si>
    <r>
      <t xml:space="preserve">โครงการ  :  </t>
    </r>
    <r>
      <rPr>
        <sz val="16"/>
        <rFont val="Angsana New"/>
        <family val="1"/>
      </rPr>
      <t>ค่าใช้จ่ายในการบรรเทา แก้ไขปัญหา และเยียวยา ผู้ที่ได้รับผลกระทบจากการระบาดของโรคติเชื้อไวรัสโคโรนา 2019 (รหัสผลผลิต 90909620043000000175)</t>
    </r>
    <r>
      <rPr>
        <b/>
        <sz val="16"/>
        <rFont val="Angsana New"/>
        <family val="1"/>
      </rPr>
      <t xml:space="preserve">             </t>
    </r>
  </si>
  <si>
    <t>รับโอนเงินกองทุนเงินทดแทนของพนักงานราชการเฉพาะกิจ</t>
  </si>
  <si>
    <t>85/65</t>
  </si>
  <si>
    <t>วางฎีกาเบิกเงิน - ค่าตอบแทนเดือนเมษายน 2565</t>
  </si>
  <si>
    <t>86/65</t>
  </si>
  <si>
    <t>วางฎีกาเบิกเงิน - ค่าตอบแทนเดือนมีนาคม 2565</t>
  </si>
  <si>
    <t>87/65</t>
  </si>
  <si>
    <t>88/65</t>
  </si>
  <si>
    <t>วางฎีกาเบิกเงิน - ค่าประกันสังคม เดือนเมษายน 2565</t>
  </si>
  <si>
    <t>วางฎีกาเบิกเงิน - ค่าประกันสังคม เดือนมีนาคม 2565</t>
  </si>
  <si>
    <t>งบกลาง ปี 2565 การจ้างพนักงานราชการเฉพาะกิจ</t>
  </si>
  <si>
    <t>ค่าตอบแทนของพนักงานราชการราชการเฉพาะกิจ</t>
  </si>
  <si>
    <t>ค่าประกันสังคมส่วนของนายจ้าง</t>
  </si>
  <si>
    <t>กองทุนเงินทดแทน</t>
  </si>
  <si>
    <r>
      <t xml:space="preserve">งบกลาง เงินกันไว้เบิกเหลื่อมปี 2564 ณ </t>
    </r>
    <r>
      <rPr>
        <sz val="16"/>
        <color indexed="10"/>
        <rFont val="TH SarabunPSK"/>
        <family val="2"/>
      </rPr>
      <t>20 เมษายน 2565</t>
    </r>
  </si>
  <si>
    <t>ตรงกับ SMS</t>
  </si>
  <si>
    <t>ตรง</t>
  </si>
  <si>
    <t>สธ 0206.02/ว128</t>
  </si>
  <si>
    <t>ลว.10 พ.ค.2565</t>
  </si>
  <si>
    <t>93/65</t>
  </si>
  <si>
    <t>วางฎีกาเบิกเงิน เดือนเมษายน 2565 (5%)</t>
  </si>
  <si>
    <t>94/65</t>
  </si>
  <si>
    <t>วางฎีกาเบิกเงิน เดือนพฤษภาคม 2565 (1%)</t>
  </si>
  <si>
    <t>95/65</t>
  </si>
  <si>
    <t>วางฎีกาเบิกเงินตกเบิก เดือนมีนาคม - เมษายน 2565 (5%)</t>
  </si>
  <si>
    <t>96/65</t>
  </si>
  <si>
    <t>วางฎีกาเบิกเงิน - ค่าประกันสังคม เดือนพฤษภาคม 2565</t>
  </si>
  <si>
    <t>92/65</t>
  </si>
  <si>
    <t>วางฎีกาเบิกเงิน - ค่าตอบแทนเดือนพฤษภาคม 2565</t>
  </si>
  <si>
    <t>97/65</t>
  </si>
  <si>
    <t>วางฎีกาเบิกเงิน เดือนเมษายน 2565</t>
  </si>
  <si>
    <t>98/65</t>
  </si>
  <si>
    <t>99/65</t>
  </si>
  <si>
    <t>100/65</t>
  </si>
  <si>
    <t>10//65</t>
  </si>
  <si>
    <t>งบดำเนินงาน ณ 31 พฤษภาคม 2565</t>
  </si>
  <si>
    <r>
      <t xml:space="preserve">งบกลาง เงินกันไว้เบิกเหลื่อมปี 2564 ณ </t>
    </r>
    <r>
      <rPr>
        <sz val="16"/>
        <color indexed="10"/>
        <rFont val="TH SarabunPSK"/>
        <family val="2"/>
      </rPr>
      <t>31 พฤษภาคม 2565</t>
    </r>
  </si>
  <si>
    <t>การบริหารจัดการขยะและสิ่งแวดล้อม</t>
  </si>
  <si>
    <r>
      <t xml:space="preserve">งบกลาง :  </t>
    </r>
    <r>
      <rPr>
        <sz val="16"/>
        <rFont val="Angsana New"/>
        <family val="1"/>
      </rPr>
      <t>แหล่งของเงิน 65101xx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ปีงบประมาณ 2565</t>
    </r>
  </si>
  <si>
    <r>
      <t xml:space="preserve">งบกลาง :  </t>
    </r>
    <r>
      <rPr>
        <sz val="16"/>
        <rFont val="Angsana New"/>
        <family val="1"/>
      </rPr>
      <t>แหล่งของเงิน 65102xx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ปีงบประมาณ 2565</t>
    </r>
  </si>
  <si>
    <r>
      <t xml:space="preserve">ผลผลิต  :  </t>
    </r>
    <r>
      <rPr>
        <sz val="16"/>
        <rFont val="Angsana New"/>
        <family val="1"/>
      </rPr>
      <t>โครงการพัฒนาศักยภาพหน่วยบริการสังกัดสำนักงานปลัดกระทรวงสาธารณสุข เพื่อขยายการรองการดูแลผู้ป่วย COVID-19 ที่มีอาการจนถึงระยะวิกฤติ</t>
    </r>
  </si>
  <si>
    <r>
      <rPr>
        <b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:  (รหัสกิจกรรม Pxxx)</t>
    </r>
  </si>
  <si>
    <t>สธ 0206.02/ว59</t>
  </si>
  <si>
    <t>รับโอนเงินค่ากล้องส่องตรวจทางเดินหายใจ ชนิดโค้งงอได้</t>
  </si>
  <si>
    <t>ชนิดวีดิทัศน์ พร้อมอุปกรณ์แสดงผลที่จอภาพ เพื่อช่วยใน</t>
  </si>
  <si>
    <t>การตรวจทางเดินหายใจและใส่ท่อช่วยหายใจ จำนวน 1 เครื่อง</t>
  </si>
  <si>
    <t>ความดันขนาดกลาง จำนวน 2 เครื่อง</t>
  </si>
  <si>
    <t>รับโอนเงินค่าเครื่องเอกซเรย์เคลื่อนที่ดิจิตอลชนิดน้ำหนักเบา</t>
  </si>
  <si>
    <t>ขนาดกลาง จำนวน 1 เครื่อง</t>
  </si>
  <si>
    <r>
      <t xml:space="preserve">แผนงาน :  </t>
    </r>
    <r>
      <rPr>
        <sz val="16"/>
        <rFont val="Angsana New"/>
        <family val="1"/>
      </rPr>
      <t>รายจ่ายเงินกู้เพื่อแก้ไขปัญหาการระบาดของโรคติดเชื้อไวรัสโคโรนา 2019</t>
    </r>
  </si>
  <si>
    <r>
      <t xml:space="preserve">งบลงทุน :  </t>
    </r>
    <r>
      <rPr>
        <sz val="16"/>
        <rFont val="Angsana New"/>
        <family val="1"/>
      </rPr>
      <t>ค่าครุภัณฑ์วิทยาศาสตร์หรือการแพทย์ แหล่งของเงิน 6541310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ปีงบประมาณ 2565</t>
    </r>
  </si>
  <si>
    <r>
      <t xml:space="preserve">โครงการ  :  </t>
    </r>
    <r>
      <rPr>
        <sz val="16"/>
        <rFont val="Angsana New"/>
        <family val="1"/>
      </rPr>
      <t>ค่าใช้จ่ายในการบรรเทา แก้ไขปัญหา และเยียวยา ผู้ที่ได้รับผลกระทบจากการระบาดของโรคติเชื้อไวรัสโคโรนา 2019 (รหัสผลผลิต 9090962043000138)</t>
    </r>
    <r>
      <rPr>
        <b/>
        <sz val="16"/>
        <rFont val="Angsana New"/>
        <family val="1"/>
      </rPr>
      <t xml:space="preserve">             </t>
    </r>
  </si>
  <si>
    <t>สธ 0206.02/ว150</t>
  </si>
  <si>
    <t>ลว.23 พ.ค.2565</t>
  </si>
  <si>
    <t>สธ 0206.03/ว145</t>
  </si>
  <si>
    <t>ลว. 20 พ.ค.2565</t>
  </si>
  <si>
    <t>รับโอนเงินค่าตอบแทนนิติเวช</t>
  </si>
  <si>
    <t>สธ 0206.03/ว141</t>
  </si>
  <si>
    <t>ลว. 19 พ.ค.2565</t>
  </si>
  <si>
    <r>
      <t xml:space="preserve">งบดำเนินงาน :  </t>
    </r>
    <r>
      <rPr>
        <sz val="16"/>
        <rFont val="Angsana New"/>
        <family val="1"/>
      </rPr>
      <t>แหล่งของเงิน 65112xx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   ปีงบประมาณ 2564</t>
    </r>
  </si>
  <si>
    <r>
      <t xml:space="preserve">แผนงาน : </t>
    </r>
    <r>
      <rPr>
        <sz val="16"/>
        <rFont val="Angsana New"/>
        <family val="1"/>
      </rPr>
      <t xml:space="preserve">ยุทธศาสตร์จัดการมลพิษและสิ่งแวดล้อม </t>
    </r>
  </si>
  <si>
    <r>
      <t xml:space="preserve">ผลผลิต  :  </t>
    </r>
    <r>
      <rPr>
        <sz val="16"/>
        <rFont val="Angsana New"/>
        <family val="1"/>
      </rPr>
      <t>โครงการบริหารจัดการขยะและสิ่งแวดล้อม (รหัสผลผลิต 2100250091002000000)</t>
    </r>
    <r>
      <rPr>
        <b/>
        <sz val="16"/>
        <rFont val="Angsana New"/>
        <family val="1"/>
      </rPr>
      <t xml:space="preserve">             </t>
    </r>
  </si>
  <si>
    <r>
      <rPr>
        <b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: สนับสนุนการบริหารจัดการขยะและสิ่งแวดล้อมในสถานบริการสาธารณสุข สังกัดสำนักงานาปลัดกระทรวงสาธารณสุข (รหัสกิจกรรม 231002658392100000)</t>
    </r>
  </si>
  <si>
    <t>สธ 0206.3/ว144</t>
  </si>
  <si>
    <t>ลงเดือนมิ.ย.65</t>
  </si>
  <si>
    <t>สธ 0206.03/ว113</t>
  </si>
  <si>
    <t>ลว.29 เม.ย.2565</t>
  </si>
  <si>
    <t>ยันยอดกันนกแล้วตรงกัน 5 มิ.ย.65</t>
  </si>
  <si>
    <t>เงินอุดหนุน</t>
  </si>
  <si>
    <t>งบลงทุน ปี 2565</t>
  </si>
  <si>
    <t>108/65</t>
  </si>
  <si>
    <t>109/65</t>
  </si>
  <si>
    <t>วางฎีกาเบิกเงิน เดือนมิถุนายน 2565</t>
  </si>
  <si>
    <t>วางฎีกาเบิกเงินเดือนธันวาคม 2564 - เมษายน 2565</t>
  </si>
  <si>
    <t>วางฎีกาเบิกเงินเดือนพฤษภาคม 2565</t>
  </si>
  <si>
    <t>110/65</t>
  </si>
  <si>
    <t>111/65</t>
  </si>
  <si>
    <t>วางฎีกาเบิกเงิน - วัสดุสำนักงาน ร้าน บีอาร์ต</t>
  </si>
  <si>
    <t>112/65</t>
  </si>
  <si>
    <t xml:space="preserve">วางฎีกาเบิกเงิน เดือนมีนาคม - </t>
  </si>
  <si>
    <t>วางฎีกาเบิกเงิน - ค่าตอบแทนเดือนมิถุนายน 2565</t>
  </si>
  <si>
    <t>114/65</t>
  </si>
  <si>
    <t>113/65</t>
  </si>
  <si>
    <t>วางฎีกาเบิกเงิน - ค่าบริการฉีดวัคซีน</t>
  </si>
  <si>
    <t>115/65</t>
  </si>
  <si>
    <t>วางฎีกาเบิกเงิน - ค่าประกันสังคม เดือนมิถุนายน 2565</t>
  </si>
  <si>
    <t>116/65</t>
  </si>
  <si>
    <t>วางฎีกาเบิกเงิน - ค่ากล้องส่องตรวจทางเดินหายใจ</t>
  </si>
  <si>
    <t>บ.ซายน์เอ็นจิเนียร์อินเตอร์เนชั่นแนล จก.</t>
  </si>
  <si>
    <t>117/65</t>
  </si>
  <si>
    <t>วางฎีกาเบิกเงิน - ค่าเครื่องช่วยหายใจชนิดควบคุมปริมาตรและ</t>
  </si>
  <si>
    <t>ความดันขนาดกลาง บ.เดรเกอร์ เมดิคัล (ประเทศไทย) จก.</t>
  </si>
  <si>
    <t>118/65</t>
  </si>
  <si>
    <t>วางฎีกาเบิกเงิน - ค่าเครื่องเอกซเรย์เคลื่อนที่ดิจิตอลชนิดน้ำหนักเบา</t>
  </si>
  <si>
    <t>ขนาดกลาง บ.เจ.เอฟ.แอดวาน เมด จก. (สำนักงานใหญ่)</t>
  </si>
  <si>
    <t>ส่งคืนเงินงบลงทุนส่วนที่เหลือให้กองคลัง สป.</t>
  </si>
  <si>
    <t xml:space="preserve">มิถุนายน </t>
  </si>
  <si>
    <t>ลงเดือน ก.ค65</t>
  </si>
  <si>
    <t>สธ 0206.02/ว192</t>
  </si>
  <si>
    <t>ลว.30 มิ.ย.2565</t>
  </si>
  <si>
    <t>รับโอนเงินค่าตอบแทนกำลังคนด้านสาธารณสุข - งวดที่ 3</t>
  </si>
  <si>
    <t>สธ 0205.02/ว193</t>
  </si>
  <si>
    <t>ลว.5 ก.ค.2565</t>
  </si>
  <si>
    <t>ด้านการสาธารณสุข (พ.ต.ส.) - งวดที่ 3</t>
  </si>
  <si>
    <t>วางฎีกาเบิกเงิน เดือนกรกฎาคม 2565</t>
  </si>
  <si>
    <t>สธ 0206.03/ว211</t>
  </si>
  <si>
    <t>ลว.12 ก.ค.2565</t>
  </si>
  <si>
    <t xml:space="preserve">งบกลาง เงินกันไว้เบิกเหลื่อมปี 2564 </t>
  </si>
  <si>
    <t>งบดำเนินงาน ณ 30 มิถุนายน 2565</t>
  </si>
  <si>
    <t>125/65</t>
  </si>
  <si>
    <t>วางฎีกาเบิกเงิน เดือนมิถุนายน 2565 (1%)</t>
  </si>
  <si>
    <t>วางฎีกาเบิกเงิน เดือนกรกฎาคม 2565 (1%)</t>
  </si>
  <si>
    <t>126/65</t>
  </si>
  <si>
    <t>127/65</t>
  </si>
  <si>
    <t>128/65</t>
  </si>
  <si>
    <t>วางฎีกาเบิกเงินค่าเช่าบ้านเดือนเมษายน-กรกฎาคม 2565</t>
  </si>
  <si>
    <t>129/65</t>
  </si>
  <si>
    <t>วางฎีกาเบิกเงิน - ค่าตอบแทนเดือนกรกฎาคม 2565</t>
  </si>
  <si>
    <t>130/65</t>
  </si>
  <si>
    <t>วางฎีกาเบิกเงิน - ค่าประกันสังคม เดือนกรกฎาคม 2565</t>
  </si>
  <si>
    <t>131/65</t>
  </si>
  <si>
    <t>132/65</t>
  </si>
  <si>
    <t>136/65</t>
  </si>
  <si>
    <t>วางฎีกาเบิกเงินเดือน พฤษภาคม 2565</t>
  </si>
  <si>
    <t>สธ 0206.03/ว239</t>
  </si>
  <si>
    <t>ลว. 1 ส.ค.2565</t>
  </si>
  <si>
    <t>งบดำเนินงาน ณ 31 กรกฎาคม 2565</t>
  </si>
  <si>
    <t>149/65</t>
  </si>
  <si>
    <t>139/65</t>
  </si>
  <si>
    <t>140/65</t>
  </si>
  <si>
    <t xml:space="preserve">สิงหาคม </t>
  </si>
  <si>
    <t>141/65</t>
  </si>
  <si>
    <t>วางฎีกาเบิกเงิน - โครงการรายทัณฑ์ปันสุขสร้างเสริมสุขภาพดี</t>
  </si>
  <si>
    <t>วางฎีกาเบิกเงิน เดือนสิงหาคม 2565 (5%)</t>
  </si>
  <si>
    <t>138/65</t>
  </si>
  <si>
    <t>142/65</t>
  </si>
  <si>
    <t>วางฎีกาเบิกเงิน เดือนมีนาคม-พฤษภาคม 2565</t>
  </si>
  <si>
    <t>143/65</t>
  </si>
  <si>
    <t>วางฎีกาเบิกเงิน - ค่าตอบแทนเดือนสิงหาคม 2565</t>
  </si>
  <si>
    <t>วางฎีกาเบิกเงิน - ค่าประกันสังคม เดือนสิงหาคม 2565</t>
  </si>
  <si>
    <t>150/65</t>
  </si>
  <si>
    <t>รับโอนเงินโครงการศูนย์พึ่งได้</t>
  </si>
  <si>
    <t>สธ 0206.03/ว233</t>
  </si>
  <si>
    <t>สธ 0206.02/ว238</t>
  </si>
  <si>
    <t>ลว. 1ส.ค.2565</t>
  </si>
  <si>
    <t>สธ 0206.3/ว240</t>
  </si>
  <si>
    <t>สธ 0206.02/ว266</t>
  </si>
  <si>
    <t>ลว.16 ส.ค.2565</t>
  </si>
  <si>
    <t>วางฎีกาเบิกเงิน - ค่าตอบแทนเดือนกันยายน 2565</t>
  </si>
  <si>
    <t>วางฎีกาเบิกเงิน เดือนกันยายน 2565 (5%)</t>
  </si>
  <si>
    <t>งบดำเนินงาน ณ 31 สิงหาคม 2565</t>
  </si>
  <si>
    <r>
      <t xml:space="preserve">งบกลาง :  </t>
    </r>
    <r>
      <rPr>
        <sz val="16"/>
        <rFont val="Angsana New"/>
        <family val="1"/>
      </rPr>
      <t>แหล่งของเงิน 65102xx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ปีงบประมาณ 2565           </t>
    </r>
  </si>
  <si>
    <t>กันเงินไว้เบิกเหลื่อมปี</t>
  </si>
  <si>
    <t>วางฎีกาเบิกเงิน - ค่าประกันสังคม เดือนกันยายน2565</t>
  </si>
  <si>
    <t xml:space="preserve">กันยายน </t>
  </si>
  <si>
    <t>วางฎีกาเบิกเงิน เดือนสิงหาคม 2565</t>
  </si>
  <si>
    <t>155/65</t>
  </si>
  <si>
    <t>157/65</t>
  </si>
  <si>
    <t>วางฎีกาเบิกเงินตกเบิก เดือนมิถุนายน - กรกฎาคม 2565</t>
  </si>
  <si>
    <t>153/65</t>
  </si>
  <si>
    <t>154/65</t>
  </si>
  <si>
    <t>156/65</t>
  </si>
  <si>
    <t>สธ 0206.02/ว292</t>
  </si>
  <si>
    <t>ลว.12 ก.ย.2565</t>
  </si>
  <si>
    <t>วางฎีกาเบิกเงิน เดือนกรกฎาคม - กันยายน 2565</t>
  </si>
  <si>
    <t>158/65</t>
  </si>
  <si>
    <t>159/65</t>
  </si>
  <si>
    <t>160/65</t>
  </si>
  <si>
    <t>วางฎีกาเบิกเงิน - ค่าใช้จ่ายในการฝึกอบรม น.ส.อุมาพร</t>
  </si>
  <si>
    <t>161/65</t>
  </si>
  <si>
    <t>162/65</t>
  </si>
  <si>
    <t>วางฎีกาเบิกเงิน - ค่าใช้จ่ายในการฝึกอบรม นางอลิสา</t>
  </si>
  <si>
    <t>163/65</t>
  </si>
  <si>
    <t>164/65</t>
  </si>
  <si>
    <t>วางฎีกาเบิกเงิน - ค่าวัสดุงานบ้านงานครัว หจก.เอส.ที.เอ็น.โพลีแพค</t>
  </si>
  <si>
    <t>165/65</t>
  </si>
  <si>
    <t>166/65</t>
  </si>
  <si>
    <t>กันเงิน</t>
  </si>
  <si>
    <t>งบกลาง ปี 2565 เงิน พ.ต.ส.</t>
  </si>
  <si>
    <t>วางฎีกาเบิกเงิน เดือนกันยายน 2565</t>
  </si>
  <si>
    <t>เงิน P4P</t>
  </si>
  <si>
    <r>
      <t xml:space="preserve">งบกลาง :  </t>
    </r>
    <r>
      <rPr>
        <sz val="16"/>
        <rFont val="Angsana New"/>
        <family val="1"/>
      </rPr>
      <t>แหล่งของเงิน 6510210</t>
    </r>
    <r>
      <rPr>
        <b/>
        <sz val="16"/>
        <rFont val="Angsana New"/>
        <family val="1"/>
      </rPr>
      <t xml:space="preserve">                                                                                                                                                                                                            ปีงบประมาณ 2565           </t>
    </r>
  </si>
  <si>
    <r>
      <t xml:space="preserve">งบกลาง : </t>
    </r>
    <r>
      <rPr>
        <sz val="16"/>
        <rFont val="Angsana New"/>
        <family val="1"/>
      </rPr>
      <t xml:space="preserve"> รายการเงินสำรองจ่ายเพื่อกรณีฉุกเฉินหรือจำเป็น  (รหัสผลผลิต 90909620012000000931)         </t>
    </r>
  </si>
  <si>
    <t>สธ 0206.02/ว335</t>
  </si>
  <si>
    <t>ลว. 30 ก.ย.2565</t>
  </si>
  <si>
    <t>ด้านการสาธารณสุข (พ.ต.ส.) งวดที่ 10</t>
  </si>
  <si>
    <t>วางฎีกาเบิกเงิน พ.ต.ส. เดือนกันยายน 2565</t>
  </si>
  <si>
    <t>สธ 0206.02/ว336</t>
  </si>
  <si>
    <t>รับโอนเงินค่าตอบแทนกำลังคนด้านสาธารณสุข -งวดที่ 7</t>
  </si>
  <si>
    <t>วางฎีกาเบิกเงิน - เดือนสิงหาคม 2565</t>
  </si>
  <si>
    <t>งบดำเนินงาน ณ 30 กันยายน 2565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</si>
</sst>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0.0000"/>
    <numFmt numFmtId="209" formatCode="0.000"/>
    <numFmt numFmtId="210" formatCode="_(* #,##0.00_);_(* \(#,##0.00\);_(* &quot;-&quot;??_);_(@_)"/>
    <numFmt numFmtId="211" formatCode="#,##0.00_ ;\-#,##0.00&quot; &quot;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58">
    <font>
      <sz val="10"/>
      <name val="Arial"/>
      <family val="0"/>
    </font>
    <font>
      <sz val="16"/>
      <name val="Angsana New"/>
      <family val="1"/>
    </font>
    <font>
      <b/>
      <sz val="20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i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3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6"/>
      <color rgb="FFFF0000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0070C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thin"/>
      <right style="thin"/>
      <top>
        <color indexed="63"/>
      </top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shrinkToFit="1"/>
    </xf>
    <xf numFmtId="43" fontId="1" fillId="0" borderId="12" xfId="38" applyFont="1" applyBorder="1" applyAlignment="1">
      <alignment/>
    </xf>
    <xf numFmtId="43" fontId="1" fillId="0" borderId="14" xfId="38" applyFont="1" applyBorder="1" applyAlignment="1">
      <alignment/>
    </xf>
    <xf numFmtId="43" fontId="1" fillId="0" borderId="13" xfId="38" applyFont="1" applyBorder="1" applyAlignment="1">
      <alignment/>
    </xf>
    <xf numFmtId="43" fontId="1" fillId="0" borderId="15" xfId="38" applyFont="1" applyBorder="1" applyAlignment="1">
      <alignment/>
    </xf>
    <xf numFmtId="0" fontId="1" fillId="0" borderId="12" xfId="0" applyFont="1" applyBorder="1" applyAlignment="1">
      <alignment shrinkToFit="1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43" fontId="2" fillId="0" borderId="0" xfId="38" applyFont="1" applyAlignment="1">
      <alignment/>
    </xf>
    <xf numFmtId="43" fontId="1" fillId="0" borderId="0" xfId="38" applyFont="1" applyAlignment="1">
      <alignment/>
    </xf>
    <xf numFmtId="0" fontId="1" fillId="0" borderId="15" xfId="0" applyFont="1" applyBorder="1" applyAlignment="1">
      <alignment shrinkToFi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3" fontId="1" fillId="0" borderId="0" xfId="38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43" fontId="1" fillId="0" borderId="11" xfId="38" applyFont="1" applyBorder="1" applyAlignment="1">
      <alignment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/>
    </xf>
    <xf numFmtId="43" fontId="1" fillId="0" borderId="17" xfId="38" applyFont="1" applyBorder="1" applyAlignment="1">
      <alignment/>
    </xf>
    <xf numFmtId="0" fontId="1" fillId="0" borderId="18" xfId="0" applyFont="1" applyBorder="1" applyAlignment="1">
      <alignment/>
    </xf>
    <xf numFmtId="43" fontId="1" fillId="0" borderId="18" xfId="38" applyFont="1" applyBorder="1" applyAlignment="1">
      <alignment/>
    </xf>
    <xf numFmtId="43" fontId="1" fillId="0" borderId="13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3" fontId="1" fillId="0" borderId="16" xfId="38" applyFont="1" applyFill="1" applyBorder="1" applyAlignment="1">
      <alignment/>
    </xf>
    <xf numFmtId="43" fontId="1" fillId="0" borderId="17" xfId="38" applyFont="1" applyFill="1" applyBorder="1" applyAlignment="1">
      <alignment/>
    </xf>
    <xf numFmtId="43" fontId="1" fillId="0" borderId="15" xfId="38" applyFont="1" applyFill="1" applyBorder="1" applyAlignment="1">
      <alignment/>
    </xf>
    <xf numFmtId="43" fontId="1" fillId="0" borderId="14" xfId="38" applyFont="1" applyFill="1" applyBorder="1" applyAlignment="1">
      <alignment/>
    </xf>
    <xf numFmtId="0" fontId="5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3" fontId="7" fillId="0" borderId="0" xfId="38" applyFont="1" applyFill="1" applyAlignment="1">
      <alignment/>
    </xf>
    <xf numFmtId="0" fontId="7" fillId="0" borderId="0" xfId="0" applyFont="1" applyFill="1" applyAlignment="1">
      <alignment/>
    </xf>
    <xf numFmtId="43" fontId="5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20" xfId="0" applyFont="1" applyFill="1" applyBorder="1" applyAlignment="1">
      <alignment horizontal="center" vertical="top" wrapText="1" readingOrder="1"/>
    </xf>
    <xf numFmtId="0" fontId="7" fillId="0" borderId="21" xfId="0" applyFont="1" applyFill="1" applyBorder="1" applyAlignment="1">
      <alignment horizontal="left" wrapText="1" readingOrder="1"/>
    </xf>
    <xf numFmtId="0" fontId="7" fillId="0" borderId="21" xfId="0" applyFont="1" applyFill="1" applyBorder="1" applyAlignment="1">
      <alignment horizontal="center" vertical="center" wrapText="1"/>
    </xf>
    <xf numFmtId="43" fontId="7" fillId="0" borderId="0" xfId="38" applyFont="1" applyAlignment="1">
      <alignment/>
    </xf>
    <xf numFmtId="0" fontId="7" fillId="0" borderId="21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left" wrapText="1" readingOrder="1"/>
    </xf>
    <xf numFmtId="43" fontId="7" fillId="0" borderId="0" xfId="38" applyFont="1" applyFill="1" applyBorder="1" applyAlignment="1">
      <alignment vertical="top"/>
    </xf>
    <xf numFmtId="210" fontId="7" fillId="0" borderId="0" xfId="0" applyNumberFormat="1" applyFont="1" applyFill="1" applyAlignment="1">
      <alignment/>
    </xf>
    <xf numFmtId="210" fontId="7" fillId="0" borderId="0" xfId="0" applyNumberFormat="1" applyFont="1" applyFill="1" applyAlignment="1">
      <alignment horizontal="right"/>
    </xf>
    <xf numFmtId="43" fontId="7" fillId="0" borderId="21" xfId="38" applyFont="1" applyFill="1" applyBorder="1" applyAlignment="1">
      <alignment horizontal="right" vertical="center" wrapText="1"/>
    </xf>
    <xf numFmtId="43" fontId="7" fillId="0" borderId="22" xfId="38" applyFont="1" applyFill="1" applyBorder="1" applyAlignment="1">
      <alignment horizontal="right" vertical="center" wrapText="1" readingOrder="1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center" shrinkToFit="1"/>
    </xf>
    <xf numFmtId="43" fontId="51" fillId="0" borderId="12" xfId="38" applyFont="1" applyBorder="1" applyAlignment="1">
      <alignment/>
    </xf>
    <xf numFmtId="43" fontId="51" fillId="0" borderId="0" xfId="38" applyFont="1" applyAlignment="1">
      <alignment/>
    </xf>
    <xf numFmtId="0" fontId="51" fillId="0" borderId="15" xfId="0" applyFont="1" applyBorder="1" applyAlignment="1">
      <alignment horizontal="center"/>
    </xf>
    <xf numFmtId="0" fontId="51" fillId="0" borderId="15" xfId="0" applyFont="1" applyBorder="1" applyAlignment="1">
      <alignment shrinkToFit="1"/>
    </xf>
    <xf numFmtId="43" fontId="51" fillId="0" borderId="15" xfId="38" applyFont="1" applyBorder="1" applyAlignment="1">
      <alignment/>
    </xf>
    <xf numFmtId="0" fontId="51" fillId="0" borderId="12" xfId="0" applyFont="1" applyBorder="1" applyAlignment="1">
      <alignment shrinkToFit="1"/>
    </xf>
    <xf numFmtId="43" fontId="51" fillId="0" borderId="13" xfId="38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 shrinkToFit="1"/>
    </xf>
    <xf numFmtId="0" fontId="51" fillId="0" borderId="13" xfId="0" applyFont="1" applyBorder="1" applyAlignment="1">
      <alignment horizontal="center" shrinkToFit="1"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shrinkToFit="1"/>
    </xf>
    <xf numFmtId="0" fontId="51" fillId="0" borderId="12" xfId="0" applyFont="1" applyBorder="1" applyAlignment="1">
      <alignment horizontal="left"/>
    </xf>
    <xf numFmtId="0" fontId="51" fillId="0" borderId="19" xfId="0" applyFont="1" applyBorder="1" applyAlignment="1">
      <alignment horizontal="center" shrinkToFit="1"/>
    </xf>
    <xf numFmtId="0" fontId="51" fillId="0" borderId="19" xfId="0" applyFont="1" applyBorder="1" applyAlignment="1">
      <alignment horizontal="center"/>
    </xf>
    <xf numFmtId="0" fontId="51" fillId="0" borderId="19" xfId="0" applyFont="1" applyBorder="1" applyAlignment="1">
      <alignment/>
    </xf>
    <xf numFmtId="43" fontId="51" fillId="0" borderId="14" xfId="38" applyFont="1" applyBorder="1" applyAlignment="1">
      <alignment/>
    </xf>
    <xf numFmtId="0" fontId="51" fillId="0" borderId="12" xfId="0" applyFont="1" applyBorder="1" applyAlignment="1">
      <alignment horizontal="left" shrinkToFit="1"/>
    </xf>
    <xf numFmtId="0" fontId="51" fillId="0" borderId="15" xfId="0" applyFont="1" applyBorder="1" applyAlignment="1">
      <alignment/>
    </xf>
    <xf numFmtId="0" fontId="51" fillId="0" borderId="14" xfId="0" applyFont="1" applyBorder="1" applyAlignment="1">
      <alignment shrinkToFit="1"/>
    </xf>
    <xf numFmtId="49" fontId="1" fillId="0" borderId="12" xfId="0" applyNumberFormat="1" applyFont="1" applyBorder="1" applyAlignment="1">
      <alignment/>
    </xf>
    <xf numFmtId="0" fontId="1" fillId="0" borderId="23" xfId="0" applyFont="1" applyBorder="1" applyAlignment="1">
      <alignment horizontal="center" shrinkToFit="1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43" fontId="1" fillId="0" borderId="23" xfId="38" applyFont="1" applyBorder="1" applyAlignment="1">
      <alignment/>
    </xf>
    <xf numFmtId="0" fontId="1" fillId="0" borderId="19" xfId="0" applyFont="1" applyBorder="1" applyAlignment="1">
      <alignment horizontal="center" shrinkToFit="1"/>
    </xf>
    <xf numFmtId="0" fontId="8" fillId="0" borderId="24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horizontal="left" shrinkToFit="1"/>
    </xf>
    <xf numFmtId="43" fontId="1" fillId="0" borderId="12" xfId="38" applyFont="1" applyFill="1" applyBorder="1" applyAlignment="1">
      <alignment/>
    </xf>
    <xf numFmtId="0" fontId="1" fillId="0" borderId="13" xfId="0" applyFont="1" applyBorder="1" applyAlignment="1">
      <alignment shrinkToFit="1"/>
    </xf>
    <xf numFmtId="0" fontId="1" fillId="0" borderId="0" xfId="0" applyFont="1" applyAlignment="1">
      <alignment/>
    </xf>
    <xf numFmtId="43" fontId="1" fillId="0" borderId="13" xfId="38" applyFont="1" applyFill="1" applyBorder="1" applyAlignment="1">
      <alignment/>
    </xf>
    <xf numFmtId="43" fontId="1" fillId="0" borderId="14" xfId="0" applyNumberFormat="1" applyFont="1" applyBorder="1" applyAlignment="1">
      <alignment/>
    </xf>
    <xf numFmtId="0" fontId="1" fillId="0" borderId="18" xfId="0" applyFont="1" applyBorder="1" applyAlignment="1">
      <alignment shrinkToFit="1"/>
    </xf>
    <xf numFmtId="0" fontId="1" fillId="0" borderId="18" xfId="0" applyFont="1" applyBorder="1" applyAlignment="1">
      <alignment horizontal="center" shrinkToFit="1"/>
    </xf>
    <xf numFmtId="0" fontId="1" fillId="0" borderId="18" xfId="0" applyFont="1" applyFill="1" applyBorder="1" applyAlignment="1">
      <alignment/>
    </xf>
    <xf numFmtId="210" fontId="52" fillId="0" borderId="0" xfId="0" applyNumberFormat="1" applyFont="1" applyFill="1" applyAlignment="1">
      <alignment/>
    </xf>
    <xf numFmtId="0" fontId="1" fillId="0" borderId="15" xfId="0" applyFont="1" applyBorder="1" applyAlignment="1">
      <alignment horizontal="center" shrinkToFit="1"/>
    </xf>
    <xf numFmtId="43" fontId="1" fillId="0" borderId="0" xfId="38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shrinkToFit="1"/>
    </xf>
    <xf numFmtId="0" fontId="51" fillId="0" borderId="15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51" fillId="0" borderId="23" xfId="0" applyFont="1" applyBorder="1" applyAlignment="1">
      <alignment horizontal="center"/>
    </xf>
    <xf numFmtId="0" fontId="51" fillId="0" borderId="23" xfId="0" applyFont="1" applyBorder="1" applyAlignment="1">
      <alignment/>
    </xf>
    <xf numFmtId="43" fontId="51" fillId="0" borderId="23" xfId="38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8" fillId="0" borderId="0" xfId="38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top" wrapText="1" readingOrder="1"/>
    </xf>
    <xf numFmtId="0" fontId="7" fillId="33" borderId="20" xfId="0" applyFont="1" applyFill="1" applyBorder="1" applyAlignment="1">
      <alignment horizontal="left" wrapText="1" readingOrder="1"/>
    </xf>
    <xf numFmtId="43" fontId="7" fillId="33" borderId="20" xfId="38" applyFont="1" applyFill="1" applyBorder="1" applyAlignment="1">
      <alignment horizontal="right" vertical="center" wrapText="1"/>
    </xf>
    <xf numFmtId="43" fontId="7" fillId="33" borderId="22" xfId="38" applyFont="1" applyFill="1" applyBorder="1" applyAlignment="1">
      <alignment horizontal="right" vertical="center" wrapText="1" readingOrder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8" fillId="33" borderId="22" xfId="0" applyFont="1" applyFill="1" applyBorder="1" applyAlignment="1">
      <alignment horizontal="center" vertical="top" wrapText="1" readingOrder="1"/>
    </xf>
    <xf numFmtId="0" fontId="7" fillId="33" borderId="22" xfId="0" applyFont="1" applyFill="1" applyBorder="1" applyAlignment="1">
      <alignment horizontal="left" wrapText="1" readingOrder="1"/>
    </xf>
    <xf numFmtId="43" fontId="7" fillId="33" borderId="22" xfId="38" applyFont="1" applyFill="1" applyBorder="1" applyAlignment="1">
      <alignment horizontal="right" wrapText="1" readingOrder="1"/>
    </xf>
    <xf numFmtId="0" fontId="7" fillId="33" borderId="21" xfId="0" applyFont="1" applyFill="1" applyBorder="1" applyAlignment="1">
      <alignment horizontal="left" wrapText="1" readingOrder="1"/>
    </xf>
    <xf numFmtId="43" fontId="52" fillId="33" borderId="21" xfId="38" applyFont="1" applyFill="1" applyBorder="1" applyAlignment="1">
      <alignment horizontal="right" wrapText="1" readingOrder="1"/>
    </xf>
    <xf numFmtId="43" fontId="7" fillId="33" borderId="21" xfId="38" applyFont="1" applyFill="1" applyBorder="1" applyAlignment="1">
      <alignment horizontal="right" wrapText="1" readingOrder="1"/>
    </xf>
    <xf numFmtId="0" fontId="7" fillId="33" borderId="0" xfId="0" applyFont="1" applyFill="1" applyBorder="1" applyAlignment="1">
      <alignment horizontal="left" wrapText="1" readingOrder="1"/>
    </xf>
    <xf numFmtId="43" fontId="7" fillId="33" borderId="0" xfId="38" applyFont="1" applyFill="1" applyAlignment="1">
      <alignment/>
    </xf>
    <xf numFmtId="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43" fontId="7" fillId="33" borderId="15" xfId="38" applyFont="1" applyFill="1" applyBorder="1" applyAlignment="1">
      <alignment vertical="top"/>
    </xf>
    <xf numFmtId="43" fontId="7" fillId="33" borderId="21" xfId="38" applyFont="1" applyFill="1" applyBorder="1" applyAlignment="1">
      <alignment horizontal="right" vertical="center" wrapText="1"/>
    </xf>
    <xf numFmtId="210" fontId="7" fillId="33" borderId="0" xfId="0" applyNumberFormat="1" applyFont="1" applyFill="1" applyAlignment="1">
      <alignment/>
    </xf>
    <xf numFmtId="210" fontId="7" fillId="33" borderId="0" xfId="0" applyNumberFormat="1" applyFont="1" applyFill="1" applyAlignment="1">
      <alignment horizontal="right"/>
    </xf>
    <xf numFmtId="43" fontId="51" fillId="0" borderId="16" xfId="38" applyFont="1" applyBorder="1" applyAlignment="1">
      <alignment/>
    </xf>
    <xf numFmtId="43" fontId="51" fillId="0" borderId="17" xfId="38" applyFont="1" applyBorder="1" applyAlignment="1">
      <alignment/>
    </xf>
    <xf numFmtId="43" fontId="7" fillId="10" borderId="20" xfId="38" applyFont="1" applyFill="1" applyBorder="1" applyAlignment="1">
      <alignment horizontal="right" vertical="center" wrapText="1"/>
    </xf>
    <xf numFmtId="43" fontId="7" fillId="10" borderId="22" xfId="38" applyFont="1" applyFill="1" applyBorder="1" applyAlignment="1">
      <alignment horizontal="right" vertical="center" wrapText="1" readingOrder="1"/>
    </xf>
    <xf numFmtId="43" fontId="7" fillId="10" borderId="22" xfId="38" applyFont="1" applyFill="1" applyBorder="1" applyAlignment="1">
      <alignment horizontal="right" wrapText="1" readingOrder="1"/>
    </xf>
    <xf numFmtId="43" fontId="7" fillId="10" borderId="21" xfId="38" applyFont="1" applyFill="1" applyBorder="1" applyAlignment="1">
      <alignment horizontal="right" wrapText="1" readingOrder="1"/>
    </xf>
    <xf numFmtId="43" fontId="7" fillId="10" borderId="0" xfId="38" applyFont="1" applyFill="1" applyAlignment="1">
      <alignment/>
    </xf>
    <xf numFmtId="43" fontId="7" fillId="5" borderId="21" xfId="38" applyFont="1" applyFill="1" applyBorder="1" applyAlignment="1">
      <alignment horizontal="right" vertical="center" wrapText="1"/>
    </xf>
    <xf numFmtId="43" fontId="7" fillId="13" borderId="0" xfId="38" applyFont="1" applyFill="1" applyAlignment="1">
      <alignment/>
    </xf>
    <xf numFmtId="0" fontId="7" fillId="13" borderId="0" xfId="0" applyFont="1" applyFill="1" applyAlignment="1">
      <alignment horizontal="center"/>
    </xf>
    <xf numFmtId="0" fontId="7" fillId="13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/>
    </xf>
    <xf numFmtId="43" fontId="7" fillId="6" borderId="0" xfId="38" applyFont="1" applyFill="1" applyAlignment="1">
      <alignment/>
    </xf>
    <xf numFmtId="43" fontId="7" fillId="6" borderId="22" xfId="38" applyFont="1" applyFill="1" applyBorder="1" applyAlignment="1">
      <alignment horizontal="right" vertical="center" wrapText="1" readingOrder="1"/>
    </xf>
    <xf numFmtId="49" fontId="51" fillId="0" borderId="12" xfId="0" applyNumberFormat="1" applyFont="1" applyBorder="1" applyAlignment="1">
      <alignment/>
    </xf>
    <xf numFmtId="0" fontId="51" fillId="0" borderId="15" xfId="0" applyFont="1" applyBorder="1" applyAlignment="1">
      <alignment horizontal="center" shrinkToFit="1"/>
    </xf>
    <xf numFmtId="43" fontId="51" fillId="0" borderId="12" xfId="38" applyFont="1" applyFill="1" applyBorder="1" applyAlignment="1">
      <alignment/>
    </xf>
    <xf numFmtId="43" fontId="51" fillId="0" borderId="12" xfId="0" applyNumberFormat="1" applyFont="1" applyBorder="1" applyAlignment="1">
      <alignment/>
    </xf>
    <xf numFmtId="43" fontId="51" fillId="0" borderId="17" xfId="38" applyFont="1" applyFill="1" applyBorder="1" applyAlignment="1">
      <alignment/>
    </xf>
    <xf numFmtId="43" fontId="51" fillId="0" borderId="13" xfId="38" applyFont="1" applyFill="1" applyBorder="1" applyAlignment="1">
      <alignment/>
    </xf>
    <xf numFmtId="43" fontId="51" fillId="0" borderId="15" xfId="38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0" xfId="0" applyFont="1" applyFill="1" applyAlignment="1">
      <alignment/>
    </xf>
    <xf numFmtId="49" fontId="1" fillId="0" borderId="15" xfId="0" applyNumberFormat="1" applyFont="1" applyBorder="1" applyAlignment="1">
      <alignment shrinkToFit="1"/>
    </xf>
    <xf numFmtId="43" fontId="1" fillId="0" borderId="26" xfId="38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43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left" shrinkToFi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7" fillId="10" borderId="0" xfId="0" applyFont="1" applyFill="1" applyAlignment="1">
      <alignment/>
    </xf>
    <xf numFmtId="43" fontId="7" fillId="10" borderId="0" xfId="38" applyFont="1" applyFill="1" applyBorder="1" applyAlignment="1">
      <alignment horizontal="right" vertical="center" wrapText="1" readingOrder="1"/>
    </xf>
    <xf numFmtId="0" fontId="52" fillId="0" borderId="0" xfId="0" applyFont="1" applyAlignment="1">
      <alignment/>
    </xf>
    <xf numFmtId="43" fontId="52" fillId="0" borderId="0" xfId="38" applyFont="1" applyAlignment="1">
      <alignment/>
    </xf>
    <xf numFmtId="43" fontId="52" fillId="10" borderId="0" xfId="38" applyFont="1" applyFill="1" applyAlignment="1">
      <alignment/>
    </xf>
    <xf numFmtId="0" fontId="52" fillId="10" borderId="0" xfId="0" applyFont="1" applyFill="1" applyAlignment="1">
      <alignment/>
    </xf>
    <xf numFmtId="43" fontId="52" fillId="10" borderId="0" xfId="38" applyFont="1" applyFill="1" applyBorder="1" applyAlignment="1">
      <alignment horizontal="right" vertical="center" wrapText="1" readingOrder="1"/>
    </xf>
    <xf numFmtId="0" fontId="8" fillId="13" borderId="24" xfId="0" applyFont="1" applyFill="1" applyBorder="1" applyAlignment="1">
      <alignment horizontal="center" vertical="top" wrapText="1" readingOrder="1"/>
    </xf>
    <xf numFmtId="0" fontId="7" fillId="13" borderId="21" xfId="0" applyFont="1" applyFill="1" applyBorder="1" applyAlignment="1">
      <alignment horizontal="left" wrapText="1" readingOrder="1"/>
    </xf>
    <xf numFmtId="43" fontId="7" fillId="13" borderId="21" xfId="38" applyFont="1" applyFill="1" applyBorder="1" applyAlignment="1">
      <alignment horizontal="right" vertical="center" wrapText="1"/>
    </xf>
    <xf numFmtId="43" fontId="7" fillId="0" borderId="0" xfId="0" applyNumberFormat="1" applyFont="1" applyFill="1" applyAlignment="1">
      <alignment/>
    </xf>
    <xf numFmtId="0" fontId="52" fillId="0" borderId="0" xfId="0" applyFont="1" applyAlignment="1">
      <alignment horizontal="right"/>
    </xf>
    <xf numFmtId="0" fontId="8" fillId="10" borderId="20" xfId="0" applyFont="1" applyFill="1" applyBorder="1" applyAlignment="1">
      <alignment horizontal="center" vertical="top" wrapText="1" readingOrder="1"/>
    </xf>
    <xf numFmtId="0" fontId="7" fillId="10" borderId="20" xfId="0" applyFont="1" applyFill="1" applyBorder="1" applyAlignment="1">
      <alignment horizontal="left" wrapText="1" readingOrder="1"/>
    </xf>
    <xf numFmtId="0" fontId="8" fillId="10" borderId="22" xfId="0" applyFont="1" applyFill="1" applyBorder="1" applyAlignment="1">
      <alignment horizontal="center" vertical="top" wrapText="1" readingOrder="1"/>
    </xf>
    <xf numFmtId="0" fontId="7" fillId="10" borderId="22" xfId="0" applyFont="1" applyFill="1" applyBorder="1" applyAlignment="1">
      <alignment horizontal="left" wrapText="1" readingOrder="1"/>
    </xf>
    <xf numFmtId="0" fontId="7" fillId="10" borderId="21" xfId="0" applyFont="1" applyFill="1" applyBorder="1" applyAlignment="1">
      <alignment horizontal="left" wrapText="1" readingOrder="1"/>
    </xf>
    <xf numFmtId="0" fontId="8" fillId="5" borderId="20" xfId="0" applyFont="1" applyFill="1" applyBorder="1" applyAlignment="1">
      <alignment horizontal="center" vertical="top" wrapText="1" readingOrder="1"/>
    </xf>
    <xf numFmtId="0" fontId="7" fillId="5" borderId="21" xfId="0" applyFont="1" applyFill="1" applyBorder="1" applyAlignment="1">
      <alignment horizontal="left" wrapText="1" readingOrder="1"/>
    </xf>
    <xf numFmtId="0" fontId="8" fillId="0" borderId="0" xfId="0" applyFont="1" applyAlignment="1" quotePrefix="1">
      <alignment/>
    </xf>
    <xf numFmtId="0" fontId="51" fillId="0" borderId="14" xfId="0" applyFont="1" applyBorder="1" applyAlignment="1">
      <alignment horizontal="left" shrinkToFit="1"/>
    </xf>
    <xf numFmtId="43" fontId="51" fillId="0" borderId="19" xfId="38" applyFont="1" applyBorder="1" applyAlignment="1">
      <alignment/>
    </xf>
    <xf numFmtId="0" fontId="53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43" fontId="53" fillId="0" borderId="13" xfId="38" applyFont="1" applyBorder="1" applyAlignment="1">
      <alignment/>
    </xf>
    <xf numFmtId="43" fontId="53" fillId="0" borderId="0" xfId="38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43" fontId="53" fillId="0" borderId="12" xfId="38" applyFont="1" applyBorder="1" applyAlignment="1">
      <alignment/>
    </xf>
    <xf numFmtId="0" fontId="53" fillId="0" borderId="12" xfId="0" applyFont="1" applyBorder="1" applyAlignment="1">
      <alignment horizontal="center" shrinkToFit="1"/>
    </xf>
    <xf numFmtId="0" fontId="53" fillId="0" borderId="12" xfId="0" applyFont="1" applyBorder="1" applyAlignment="1">
      <alignment shrinkToFit="1"/>
    </xf>
    <xf numFmtId="43" fontId="53" fillId="0" borderId="16" xfId="38" applyFont="1" applyBorder="1" applyAlignment="1">
      <alignment/>
    </xf>
    <xf numFmtId="43" fontId="53" fillId="0" borderId="17" xfId="38" applyFont="1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15" xfId="0" applyFont="1" applyBorder="1" applyAlignment="1">
      <alignment/>
    </xf>
    <xf numFmtId="43" fontId="53" fillId="0" borderId="15" xfId="38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43" fontId="53" fillId="0" borderId="14" xfId="38" applyFont="1" applyBorder="1" applyAlignment="1">
      <alignment/>
    </xf>
    <xf numFmtId="0" fontId="54" fillId="10" borderId="20" xfId="0" applyFont="1" applyFill="1" applyBorder="1" applyAlignment="1">
      <alignment horizontal="center" vertical="top" wrapText="1" readingOrder="1"/>
    </xf>
    <xf numFmtId="0" fontId="55" fillId="10" borderId="20" xfId="0" applyFont="1" applyFill="1" applyBorder="1" applyAlignment="1">
      <alignment horizontal="left" wrapText="1" readingOrder="1"/>
    </xf>
    <xf numFmtId="0" fontId="55" fillId="33" borderId="20" xfId="0" applyFont="1" applyFill="1" applyBorder="1" applyAlignment="1">
      <alignment horizontal="left" wrapText="1" readingOrder="1"/>
    </xf>
    <xf numFmtId="43" fontId="55" fillId="10" borderId="20" xfId="38" applyFont="1" applyFill="1" applyBorder="1" applyAlignment="1">
      <alignment horizontal="right" vertical="center" wrapText="1"/>
    </xf>
    <xf numFmtId="43" fontId="55" fillId="10" borderId="22" xfId="38" applyFont="1" applyFill="1" applyBorder="1" applyAlignment="1">
      <alignment horizontal="right" vertical="center" wrapText="1" readingOrder="1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right"/>
    </xf>
    <xf numFmtId="0" fontId="54" fillId="10" borderId="22" xfId="0" applyFont="1" applyFill="1" applyBorder="1" applyAlignment="1">
      <alignment horizontal="center" vertical="top" wrapText="1" readingOrder="1"/>
    </xf>
    <xf numFmtId="0" fontId="55" fillId="10" borderId="22" xfId="0" applyFont="1" applyFill="1" applyBorder="1" applyAlignment="1">
      <alignment horizontal="left" wrapText="1" readingOrder="1"/>
    </xf>
    <xf numFmtId="0" fontId="55" fillId="33" borderId="22" xfId="0" applyFont="1" applyFill="1" applyBorder="1" applyAlignment="1">
      <alignment horizontal="left" wrapText="1" readingOrder="1"/>
    </xf>
    <xf numFmtId="43" fontId="55" fillId="10" borderId="22" xfId="38" applyFont="1" applyFill="1" applyBorder="1" applyAlignment="1">
      <alignment horizontal="right" wrapText="1" readingOrder="1"/>
    </xf>
    <xf numFmtId="0" fontId="55" fillId="10" borderId="21" xfId="0" applyFont="1" applyFill="1" applyBorder="1" applyAlignment="1">
      <alignment horizontal="left" wrapText="1" readingOrder="1"/>
    </xf>
    <xf numFmtId="0" fontId="55" fillId="33" borderId="21" xfId="0" applyFont="1" applyFill="1" applyBorder="1" applyAlignment="1">
      <alignment horizontal="left" wrapText="1" readingOrder="1"/>
    </xf>
    <xf numFmtId="43" fontId="55" fillId="10" borderId="21" xfId="38" applyFont="1" applyFill="1" applyBorder="1" applyAlignment="1">
      <alignment horizontal="right" wrapText="1" readingOrder="1"/>
    </xf>
    <xf numFmtId="0" fontId="55" fillId="33" borderId="0" xfId="0" applyFont="1" applyFill="1" applyBorder="1" applyAlignment="1">
      <alignment horizontal="left" wrapText="1" readingOrder="1"/>
    </xf>
    <xf numFmtId="43" fontId="55" fillId="10" borderId="0" xfId="38" applyFont="1" applyFill="1" applyAlignment="1">
      <alignment/>
    </xf>
    <xf numFmtId="4" fontId="55" fillId="33" borderId="0" xfId="0" applyNumberFormat="1" applyFont="1" applyFill="1" applyAlignment="1">
      <alignment/>
    </xf>
    <xf numFmtId="4" fontId="55" fillId="33" borderId="0" xfId="0" applyNumberFormat="1" applyFont="1" applyFill="1" applyAlignment="1">
      <alignment horizontal="right"/>
    </xf>
    <xf numFmtId="0" fontId="54" fillId="33" borderId="22" xfId="0" applyFont="1" applyFill="1" applyBorder="1" applyAlignment="1">
      <alignment horizontal="center" vertical="top" wrapText="1" readingOrder="1"/>
    </xf>
    <xf numFmtId="43" fontId="55" fillId="33" borderId="15" xfId="38" applyFont="1" applyFill="1" applyBorder="1" applyAlignment="1">
      <alignment vertical="top"/>
    </xf>
    <xf numFmtId="43" fontId="55" fillId="33" borderId="21" xfId="38" applyFont="1" applyFill="1" applyBorder="1" applyAlignment="1">
      <alignment horizontal="right" vertical="center" wrapText="1"/>
    </xf>
    <xf numFmtId="210" fontId="55" fillId="33" borderId="0" xfId="0" applyNumberFormat="1" applyFont="1" applyFill="1" applyAlignment="1">
      <alignment/>
    </xf>
    <xf numFmtId="210" fontId="55" fillId="33" borderId="0" xfId="0" applyNumberFormat="1" applyFont="1" applyFill="1" applyAlignment="1">
      <alignment horizontal="right"/>
    </xf>
    <xf numFmtId="0" fontId="54" fillId="5" borderId="20" xfId="0" applyFont="1" applyFill="1" applyBorder="1" applyAlignment="1">
      <alignment horizontal="center" vertical="top" wrapText="1" readingOrder="1"/>
    </xf>
    <xf numFmtId="0" fontId="55" fillId="5" borderId="21" xfId="0" applyFont="1" applyFill="1" applyBorder="1" applyAlignment="1">
      <alignment horizontal="left" wrapText="1" readingOrder="1"/>
    </xf>
    <xf numFmtId="0" fontId="55" fillId="0" borderId="21" xfId="0" applyFont="1" applyFill="1" applyBorder="1" applyAlignment="1">
      <alignment horizontal="left" wrapText="1" readingOrder="1"/>
    </xf>
    <xf numFmtId="43" fontId="55" fillId="5" borderId="21" xfId="38" applyFont="1" applyFill="1" applyBorder="1" applyAlignment="1">
      <alignment horizontal="right" vertical="center" wrapText="1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4" fillId="0" borderId="20" xfId="0" applyFont="1" applyFill="1" applyBorder="1" applyAlignment="1">
      <alignment horizontal="center" vertical="top" wrapText="1" readingOrder="1"/>
    </xf>
    <xf numFmtId="0" fontId="55" fillId="0" borderId="0" xfId="0" applyFont="1" applyFill="1" applyBorder="1" applyAlignment="1">
      <alignment horizontal="left" wrapText="1" readingOrder="1"/>
    </xf>
    <xf numFmtId="43" fontId="55" fillId="0" borderId="0" xfId="38" applyFont="1" applyFill="1" applyBorder="1" applyAlignment="1">
      <alignment vertical="top"/>
    </xf>
    <xf numFmtId="43" fontId="55" fillId="0" borderId="21" xfId="38" applyFont="1" applyFill="1" applyBorder="1" applyAlignment="1">
      <alignment horizontal="right" vertical="center" wrapText="1"/>
    </xf>
    <xf numFmtId="210" fontId="55" fillId="0" borderId="0" xfId="0" applyNumberFormat="1" applyFont="1" applyFill="1" applyAlignment="1">
      <alignment/>
    </xf>
    <xf numFmtId="210" fontId="55" fillId="0" borderId="0" xfId="0" applyNumberFormat="1" applyFont="1" applyFill="1" applyAlignment="1">
      <alignment horizontal="right"/>
    </xf>
    <xf numFmtId="0" fontId="54" fillId="0" borderId="24" xfId="0" applyFont="1" applyFill="1" applyBorder="1" applyAlignment="1">
      <alignment horizontal="center" vertical="top" wrapText="1" readingOrder="1"/>
    </xf>
    <xf numFmtId="0" fontId="55" fillId="13" borderId="0" xfId="0" applyFont="1" applyFill="1" applyAlignment="1">
      <alignment horizontal="center"/>
    </xf>
    <xf numFmtId="0" fontId="55" fillId="13" borderId="0" xfId="0" applyFont="1" applyFill="1" applyAlignment="1">
      <alignment/>
    </xf>
    <xf numFmtId="43" fontId="55" fillId="13" borderId="0" xfId="38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4" fillId="13" borderId="24" xfId="0" applyFont="1" applyFill="1" applyBorder="1" applyAlignment="1">
      <alignment horizontal="center" vertical="top" wrapText="1" readingOrder="1"/>
    </xf>
    <xf numFmtId="0" fontId="55" fillId="13" borderId="21" xfId="0" applyFont="1" applyFill="1" applyBorder="1" applyAlignment="1">
      <alignment horizontal="left" wrapText="1" readingOrder="1"/>
    </xf>
    <xf numFmtId="43" fontId="55" fillId="13" borderId="21" xfId="38" applyFont="1" applyFill="1" applyBorder="1" applyAlignment="1">
      <alignment horizontal="right" vertical="center" wrapText="1"/>
    </xf>
    <xf numFmtId="43" fontId="55" fillId="0" borderId="0" xfId="0" applyNumberFormat="1" applyFont="1" applyFill="1" applyAlignment="1">
      <alignment/>
    </xf>
    <xf numFmtId="0" fontId="55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 readingOrder="1"/>
    </xf>
    <xf numFmtId="0" fontId="55" fillId="6" borderId="0" xfId="0" applyFont="1" applyFill="1" applyAlignment="1">
      <alignment/>
    </xf>
    <xf numFmtId="43" fontId="55" fillId="6" borderId="0" xfId="38" applyFont="1" applyFill="1" applyAlignment="1">
      <alignment/>
    </xf>
    <xf numFmtId="0" fontId="55" fillId="6" borderId="0" xfId="0" applyFont="1" applyFill="1" applyAlignment="1">
      <alignment horizontal="center"/>
    </xf>
    <xf numFmtId="43" fontId="55" fillId="6" borderId="22" xfId="38" applyFont="1" applyFill="1" applyBorder="1" applyAlignment="1">
      <alignment horizontal="right" vertical="center" wrapText="1" readingOrder="1"/>
    </xf>
    <xf numFmtId="0" fontId="55" fillId="10" borderId="0" xfId="0" applyFont="1" applyFill="1" applyAlignment="1">
      <alignment/>
    </xf>
    <xf numFmtId="43" fontId="7" fillId="33" borderId="29" xfId="38" applyFont="1" applyFill="1" applyBorder="1" applyAlignment="1">
      <alignment horizontal="right" vertical="center" wrapText="1"/>
    </xf>
    <xf numFmtId="43" fontId="7" fillId="33" borderId="30" xfId="38" applyFont="1" applyFill="1" applyBorder="1" applyAlignment="1">
      <alignment horizontal="right" wrapText="1" readingOrder="1"/>
    </xf>
    <xf numFmtId="43" fontId="7" fillId="33" borderId="30" xfId="38" applyFont="1" applyFill="1" applyBorder="1" applyAlignment="1">
      <alignment horizontal="right" vertical="center" wrapText="1"/>
    </xf>
    <xf numFmtId="43" fontId="7" fillId="0" borderId="30" xfId="38" applyFont="1" applyFill="1" applyBorder="1" applyAlignment="1">
      <alignment horizontal="right" vertical="center" wrapText="1"/>
    </xf>
    <xf numFmtId="43" fontId="7" fillId="10" borderId="29" xfId="38" applyFont="1" applyFill="1" applyBorder="1" applyAlignment="1">
      <alignment horizontal="right" vertical="center" wrapText="1"/>
    </xf>
    <xf numFmtId="43" fontId="7" fillId="10" borderId="30" xfId="38" applyFont="1" applyFill="1" applyBorder="1" applyAlignment="1">
      <alignment horizontal="right" wrapText="1" readingOrder="1"/>
    </xf>
    <xf numFmtId="43" fontId="7" fillId="5" borderId="30" xfId="38" applyFont="1" applyFill="1" applyBorder="1" applyAlignment="1">
      <alignment horizontal="right" vertical="center" wrapText="1"/>
    </xf>
    <xf numFmtId="43" fontId="7" fillId="13" borderId="30" xfId="38" applyFont="1" applyFill="1" applyBorder="1" applyAlignment="1">
      <alignment horizontal="right" vertical="center" wrapText="1"/>
    </xf>
    <xf numFmtId="43" fontId="55" fillId="10" borderId="29" xfId="38" applyFont="1" applyFill="1" applyBorder="1" applyAlignment="1">
      <alignment horizontal="right" vertical="center" wrapText="1"/>
    </xf>
    <xf numFmtId="43" fontId="55" fillId="10" borderId="30" xfId="38" applyFont="1" applyFill="1" applyBorder="1" applyAlignment="1">
      <alignment horizontal="right" wrapText="1" readingOrder="1"/>
    </xf>
    <xf numFmtId="43" fontId="55" fillId="33" borderId="30" xfId="38" applyFont="1" applyFill="1" applyBorder="1" applyAlignment="1">
      <alignment horizontal="right" vertical="center" wrapText="1"/>
    </xf>
    <xf numFmtId="43" fontId="55" fillId="5" borderId="30" xfId="38" applyFont="1" applyFill="1" applyBorder="1" applyAlignment="1">
      <alignment horizontal="right" vertical="center" wrapText="1"/>
    </xf>
    <xf numFmtId="43" fontId="55" fillId="0" borderId="30" xfId="38" applyFont="1" applyFill="1" applyBorder="1" applyAlignment="1">
      <alignment horizontal="right" vertical="center" wrapText="1"/>
    </xf>
    <xf numFmtId="43" fontId="55" fillId="13" borderId="30" xfId="38" applyFont="1" applyFill="1" applyBorder="1" applyAlignment="1">
      <alignment horizontal="right" vertical="center" wrapText="1"/>
    </xf>
    <xf numFmtId="0" fontId="55" fillId="13" borderId="0" xfId="0" applyFont="1" applyFill="1" applyAlignment="1">
      <alignment shrinkToFit="1"/>
    </xf>
    <xf numFmtId="0" fontId="7" fillId="13" borderId="0" xfId="0" applyFont="1" applyFill="1" applyAlignment="1">
      <alignment shrinkToFit="1"/>
    </xf>
    <xf numFmtId="0" fontId="7" fillId="0" borderId="0" xfId="0" applyFont="1" applyAlignment="1">
      <alignment shrinkToFit="1"/>
    </xf>
    <xf numFmtId="43" fontId="7" fillId="13" borderId="22" xfId="38" applyFont="1" applyFill="1" applyBorder="1" applyAlignment="1">
      <alignment horizontal="right" vertical="center" wrapText="1" readingOrder="1"/>
    </xf>
    <xf numFmtId="0" fontId="56" fillId="0" borderId="0" xfId="0" applyFont="1" applyAlignment="1" quotePrefix="1">
      <alignment/>
    </xf>
    <xf numFmtId="49" fontId="55" fillId="6" borderId="0" xfId="0" applyNumberFormat="1" applyFont="1" applyFill="1" applyAlignment="1">
      <alignment shrinkToFit="1"/>
    </xf>
    <xf numFmtId="43" fontId="55" fillId="33" borderId="0" xfId="0" applyNumberFormat="1" applyFont="1" applyFill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shrinkToFit="1"/>
    </xf>
    <xf numFmtId="0" fontId="55" fillId="6" borderId="0" xfId="0" applyFont="1" applyFill="1" applyAlignment="1">
      <alignment shrinkToFit="1"/>
    </xf>
    <xf numFmtId="43" fontId="55" fillId="13" borderId="22" xfId="38" applyFont="1" applyFill="1" applyBorder="1" applyAlignment="1">
      <alignment horizontal="right" vertical="center" wrapText="1" readingOrder="1"/>
    </xf>
    <xf numFmtId="0" fontId="52" fillId="33" borderId="0" xfId="0" applyFont="1" applyFill="1" applyAlignment="1">
      <alignment/>
    </xf>
    <xf numFmtId="0" fontId="56" fillId="33" borderId="0" xfId="0" applyFont="1" applyFill="1" applyAlignment="1" quotePrefix="1">
      <alignment/>
    </xf>
    <xf numFmtId="43" fontId="52" fillId="33" borderId="0" xfId="38" applyFont="1" applyFill="1" applyAlignment="1">
      <alignment/>
    </xf>
    <xf numFmtId="0" fontId="54" fillId="33" borderId="20" xfId="0" applyFont="1" applyFill="1" applyBorder="1" applyAlignment="1">
      <alignment horizontal="center" vertical="top" wrapText="1" readingOrder="1"/>
    </xf>
    <xf numFmtId="43" fontId="55" fillId="33" borderId="20" xfId="38" applyFont="1" applyFill="1" applyBorder="1" applyAlignment="1">
      <alignment horizontal="right" vertical="center" wrapText="1"/>
    </xf>
    <xf numFmtId="43" fontId="55" fillId="33" borderId="29" xfId="38" applyFont="1" applyFill="1" applyBorder="1" applyAlignment="1">
      <alignment horizontal="right" vertical="center" wrapText="1"/>
    </xf>
    <xf numFmtId="43" fontId="55" fillId="33" borderId="22" xfId="38" applyFont="1" applyFill="1" applyBorder="1" applyAlignment="1">
      <alignment horizontal="right" vertical="center" wrapText="1" readingOrder="1"/>
    </xf>
    <xf numFmtId="43" fontId="55" fillId="33" borderId="22" xfId="38" applyFont="1" applyFill="1" applyBorder="1" applyAlignment="1">
      <alignment horizontal="right" wrapText="1" readingOrder="1"/>
    </xf>
    <xf numFmtId="43" fontId="55" fillId="33" borderId="21" xfId="38" applyFont="1" applyFill="1" applyBorder="1" applyAlignment="1">
      <alignment horizontal="right" wrapText="1" readingOrder="1"/>
    </xf>
    <xf numFmtId="43" fontId="55" fillId="33" borderId="30" xfId="38" applyFont="1" applyFill="1" applyBorder="1" applyAlignment="1">
      <alignment horizontal="right" wrapText="1" readingOrder="1"/>
    </xf>
    <xf numFmtId="43" fontId="55" fillId="33" borderId="0" xfId="38" applyFont="1" applyFill="1" applyAlignment="1">
      <alignment/>
    </xf>
    <xf numFmtId="43" fontId="55" fillId="33" borderId="0" xfId="38" applyFont="1" applyFill="1" applyBorder="1" applyAlignment="1">
      <alignment vertical="top"/>
    </xf>
    <xf numFmtId="0" fontId="54" fillId="33" borderId="24" xfId="0" applyFont="1" applyFill="1" applyBorder="1" applyAlignment="1">
      <alignment horizontal="center" vertical="top" wrapText="1" readingOrder="1"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 shrinkToFi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 readingOrder="1"/>
    </xf>
    <xf numFmtId="49" fontId="55" fillId="33" borderId="0" xfId="0" applyNumberFormat="1" applyFont="1" applyFill="1" applyAlignment="1">
      <alignment shrinkToFit="1"/>
    </xf>
    <xf numFmtId="43" fontId="52" fillId="33" borderId="0" xfId="38" applyFont="1" applyFill="1" applyBorder="1" applyAlignment="1">
      <alignment horizontal="right" vertical="center" wrapText="1" readingOrder="1"/>
    </xf>
    <xf numFmtId="43" fontId="55" fillId="16" borderId="21" xfId="38" applyFont="1" applyFill="1" applyBorder="1" applyAlignment="1">
      <alignment horizontal="right" vertical="center" wrapText="1"/>
    </xf>
    <xf numFmtId="43" fontId="7" fillId="16" borderId="22" xfId="38" applyFont="1" applyFill="1" applyBorder="1" applyAlignment="1">
      <alignment horizontal="right" vertical="center" wrapText="1" readingOrder="1"/>
    </xf>
    <xf numFmtId="43" fontId="55" fillId="16" borderId="22" xfId="38" applyFont="1" applyFill="1" applyBorder="1" applyAlignment="1">
      <alignment horizontal="right" vertical="center" wrapText="1" readingOrder="1"/>
    </xf>
    <xf numFmtId="0" fontId="53" fillId="0" borderId="15" xfId="0" applyFont="1" applyBorder="1" applyAlignment="1">
      <alignment shrinkToFit="1"/>
    </xf>
    <xf numFmtId="0" fontId="53" fillId="0" borderId="12" xfId="0" applyFont="1" applyBorder="1" applyAlignment="1">
      <alignment horizontal="left" shrinkToFit="1"/>
    </xf>
    <xf numFmtId="49" fontId="53" fillId="0" borderId="15" xfId="0" applyNumberFormat="1" applyFont="1" applyBorder="1" applyAlignment="1">
      <alignment shrinkToFit="1"/>
    </xf>
    <xf numFmtId="43" fontId="53" fillId="0" borderId="26" xfId="38" applyFont="1" applyBorder="1" applyAlignment="1">
      <alignment/>
    </xf>
    <xf numFmtId="0" fontId="53" fillId="0" borderId="18" xfId="0" applyFont="1" applyBorder="1" applyAlignment="1">
      <alignment horizontal="center" shrinkToFit="1"/>
    </xf>
    <xf numFmtId="0" fontId="53" fillId="0" borderId="18" xfId="0" applyFont="1" applyBorder="1" applyAlignment="1">
      <alignment horizontal="center"/>
    </xf>
    <xf numFmtId="0" fontId="53" fillId="0" borderId="18" xfId="0" applyFont="1" applyBorder="1" applyAlignment="1">
      <alignment/>
    </xf>
    <xf numFmtId="43" fontId="53" fillId="0" borderId="18" xfId="38" applyFont="1" applyBorder="1" applyAlignment="1">
      <alignment/>
    </xf>
    <xf numFmtId="43" fontId="1" fillId="0" borderId="23" xfId="38" applyFont="1" applyFill="1" applyBorder="1" applyAlignment="1">
      <alignment/>
    </xf>
    <xf numFmtId="43" fontId="1" fillId="0" borderId="12" xfId="38" applyFont="1" applyBorder="1" applyAlignment="1">
      <alignment horizontal="center"/>
    </xf>
    <xf numFmtId="43" fontId="1" fillId="0" borderId="18" xfId="38" applyFont="1" applyBorder="1" applyAlignment="1">
      <alignment horizontal="center"/>
    </xf>
    <xf numFmtId="43" fontId="7" fillId="0" borderId="31" xfId="38" applyFont="1" applyBorder="1" applyAlignment="1">
      <alignment/>
    </xf>
    <xf numFmtId="0" fontId="7" fillId="0" borderId="32" xfId="0" applyFont="1" applyBorder="1" applyAlignment="1">
      <alignment/>
    </xf>
    <xf numFmtId="43" fontId="7" fillId="0" borderId="32" xfId="38" applyFont="1" applyBorder="1" applyAlignment="1">
      <alignment/>
    </xf>
    <xf numFmtId="0" fontId="10" fillId="0" borderId="19" xfId="0" applyFont="1" applyBorder="1" applyAlignment="1">
      <alignment horizontal="center" shrinkToFit="1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43" fontId="10" fillId="0" borderId="15" xfId="38" applyFont="1" applyBorder="1" applyAlignment="1">
      <alignment/>
    </xf>
    <xf numFmtId="0" fontId="10" fillId="0" borderId="0" xfId="0" applyFont="1" applyAlignment="1">
      <alignment/>
    </xf>
    <xf numFmtId="43" fontId="55" fillId="34" borderId="0" xfId="0" applyNumberFormat="1" applyFont="1" applyFill="1" applyAlignment="1">
      <alignment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 readingOrder="1"/>
    </xf>
    <xf numFmtId="43" fontId="55" fillId="33" borderId="0" xfId="38" applyFont="1" applyFill="1" applyBorder="1" applyAlignment="1">
      <alignment horizontal="right" vertical="center" wrapText="1"/>
    </xf>
    <xf numFmtId="43" fontId="7" fillId="33" borderId="0" xfId="38" applyFont="1" applyFill="1" applyBorder="1" applyAlignment="1">
      <alignment horizontal="right" vertical="center" wrapText="1" readingOrder="1"/>
    </xf>
    <xf numFmtId="0" fontId="55" fillId="33" borderId="0" xfId="0" applyFont="1" applyFill="1" applyBorder="1" applyAlignment="1">
      <alignment horizontal="left" vertical="center" wrapText="1" readingOrder="1"/>
    </xf>
    <xf numFmtId="0" fontId="7" fillId="33" borderId="0" xfId="0" applyFont="1" applyFill="1" applyAlignment="1" quotePrefix="1">
      <alignment/>
    </xf>
    <xf numFmtId="43" fontId="55" fillId="33" borderId="33" xfId="38" applyFont="1" applyFill="1" applyBorder="1" applyAlignment="1">
      <alignment horizontal="right" vertical="center" wrapText="1" readingOrder="1"/>
    </xf>
    <xf numFmtId="43" fontId="7" fillId="33" borderId="34" xfId="38" applyFont="1" applyFill="1" applyBorder="1" applyAlignment="1">
      <alignment/>
    </xf>
    <xf numFmtId="43" fontId="1" fillId="0" borderId="16" xfId="38" applyNumberFormat="1" applyFont="1" applyBorder="1" applyAlignment="1">
      <alignment/>
    </xf>
    <xf numFmtId="43" fontId="57" fillId="0" borderId="0" xfId="38" applyFont="1" applyAlignment="1">
      <alignment/>
    </xf>
    <xf numFmtId="0" fontId="57" fillId="0" borderId="0" xfId="0" applyFont="1" applyAlignment="1">
      <alignment/>
    </xf>
    <xf numFmtId="0" fontId="1" fillId="0" borderId="19" xfId="0" applyFont="1" applyBorder="1" applyAlignment="1">
      <alignment shrinkToFit="1"/>
    </xf>
    <xf numFmtId="43" fontId="1" fillId="0" borderId="19" xfId="38" applyFont="1" applyBorder="1" applyAlignment="1">
      <alignment/>
    </xf>
    <xf numFmtId="0" fontId="1" fillId="0" borderId="14" xfId="0" applyFont="1" applyBorder="1" applyAlignment="1">
      <alignment horizontal="left" shrinkToFit="1"/>
    </xf>
    <xf numFmtId="4" fontId="55" fillId="35" borderId="0" xfId="0" applyNumberFormat="1" applyFont="1" applyFill="1" applyAlignment="1">
      <alignment/>
    </xf>
    <xf numFmtId="43" fontId="52" fillId="16" borderId="22" xfId="38" applyFont="1" applyFill="1" applyBorder="1" applyAlignment="1">
      <alignment horizontal="right" vertical="center" wrapText="1" readingOrder="1"/>
    </xf>
    <xf numFmtId="43" fontId="52" fillId="33" borderId="22" xfId="38" applyFont="1" applyFill="1" applyBorder="1" applyAlignment="1">
      <alignment horizontal="right" vertical="center" wrapText="1" readingOrder="1"/>
    </xf>
    <xf numFmtId="15" fontId="1" fillId="0" borderId="12" xfId="0" applyNumberFormat="1" applyFont="1" applyBorder="1" applyAlignment="1">
      <alignment horizontal="center"/>
    </xf>
    <xf numFmtId="43" fontId="52" fillId="33" borderId="30" xfId="38" applyFont="1" applyFill="1" applyBorder="1" applyAlignment="1">
      <alignment horizontal="right" wrapText="1" readingOrder="1"/>
    </xf>
    <xf numFmtId="43" fontId="52" fillId="33" borderId="30" xfId="38" applyFont="1" applyFill="1" applyBorder="1" applyAlignment="1">
      <alignment horizontal="right" vertical="center" wrapText="1"/>
    </xf>
    <xf numFmtId="43" fontId="1" fillId="0" borderId="0" xfId="0" applyNumberFormat="1" applyFont="1" applyAlignment="1">
      <alignment/>
    </xf>
    <xf numFmtId="17" fontId="1" fillId="0" borderId="12" xfId="0" applyNumberFormat="1" applyFont="1" applyBorder="1" applyAlignment="1">
      <alignment horizontal="center" shrinkToFit="1"/>
    </xf>
    <xf numFmtId="43" fontId="52" fillId="33" borderId="22" xfId="38" applyFont="1" applyFill="1" applyBorder="1" applyAlignment="1">
      <alignment horizontal="right" wrapText="1" readingOrder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shrinkToFit="1"/>
    </xf>
    <xf numFmtId="0" fontId="1" fillId="0" borderId="0" xfId="0" applyFont="1" applyAlignment="1">
      <alignment horizontal="left"/>
    </xf>
    <xf numFmtId="0" fontId="3" fillId="0" borderId="32" xfId="0" applyFont="1" applyBorder="1" applyAlignment="1">
      <alignment horizontal="left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shrinkToFit="1"/>
    </xf>
    <xf numFmtId="0" fontId="3" fillId="0" borderId="32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2"/>
  <sheetViews>
    <sheetView tabSelected="1" zoomScalePageLayoutView="0" workbookViewId="0" topLeftCell="A1">
      <pane xSplit="1" ySplit="1" topLeftCell="B39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10" sqref="A410"/>
    </sheetView>
  </sheetViews>
  <sheetFormatPr defaultColWidth="9.140625" defaultRowHeight="12.75"/>
  <cols>
    <col min="1" max="1" width="7.57421875" style="59" customWidth="1"/>
    <col min="2" max="2" width="61.57421875" style="59" customWidth="1"/>
    <col min="3" max="3" width="21.140625" style="59" hidden="1" customWidth="1"/>
    <col min="4" max="4" width="17.421875" style="59" hidden="1" customWidth="1"/>
    <col min="5" max="8" width="15.7109375" style="64" customWidth="1"/>
    <col min="9" max="9" width="15.8515625" style="59" customWidth="1"/>
    <col min="10" max="10" width="14.421875" style="59" customWidth="1"/>
    <col min="11" max="11" width="15.8515625" style="60" customWidth="1"/>
    <col min="12" max="12" width="23.28125" style="59" customWidth="1"/>
    <col min="13" max="13" width="15.7109375" style="59" customWidth="1"/>
    <col min="14" max="14" width="13.8515625" style="59" customWidth="1"/>
    <col min="15" max="15" width="19.140625" style="59" customWidth="1"/>
    <col min="16" max="16" width="11.28125" style="59" bestFit="1" customWidth="1"/>
    <col min="17" max="16384" width="9.140625" style="59" customWidth="1"/>
  </cols>
  <sheetData>
    <row r="1" spans="1:15" s="57" customFormat="1" ht="21">
      <c r="A1" s="54"/>
      <c r="B1" s="54"/>
      <c r="C1" s="54"/>
      <c r="D1" s="54"/>
      <c r="E1" s="128" t="s">
        <v>97</v>
      </c>
      <c r="F1" s="128" t="s">
        <v>98</v>
      </c>
      <c r="G1" s="128" t="s">
        <v>181</v>
      </c>
      <c r="H1" s="128" t="s">
        <v>9</v>
      </c>
      <c r="I1" s="54"/>
      <c r="J1" s="54"/>
      <c r="K1" s="55"/>
      <c r="L1" s="56"/>
      <c r="M1" s="56"/>
      <c r="O1" s="58"/>
    </row>
    <row r="2" ht="21.75" thickBot="1">
      <c r="B2" s="121" t="s">
        <v>94</v>
      </c>
    </row>
    <row r="3" spans="1:11" s="133" customFormat="1" ht="22.5" thickBot="1" thickTop="1">
      <c r="A3" s="129">
        <v>1</v>
      </c>
      <c r="B3" s="130" t="s">
        <v>16</v>
      </c>
      <c r="C3" s="130"/>
      <c r="D3" s="130"/>
      <c r="E3" s="131">
        <v>9210900</v>
      </c>
      <c r="F3" s="131"/>
      <c r="G3" s="274"/>
      <c r="H3" s="132">
        <f>E3-F3-G3</f>
        <v>9210900</v>
      </c>
      <c r="K3" s="134"/>
    </row>
    <row r="4" spans="1:11" s="133" customFormat="1" ht="22.5" thickBot="1" thickTop="1">
      <c r="A4" s="135">
        <v>2</v>
      </c>
      <c r="B4" s="136" t="s">
        <v>104</v>
      </c>
      <c r="C4" s="136"/>
      <c r="D4" s="136"/>
      <c r="E4" s="137">
        <f>143364+14604</f>
        <v>157968</v>
      </c>
      <c r="F4" s="137"/>
      <c r="G4" s="137"/>
      <c r="H4" s="132">
        <f aca="true" t="shared" si="0" ref="H4:H13">E4-F4-G4</f>
        <v>157968</v>
      </c>
      <c r="K4" s="134"/>
    </row>
    <row r="5" spans="1:11" s="133" customFormat="1" ht="22.5" thickBot="1" thickTop="1">
      <c r="A5" s="129">
        <v>3</v>
      </c>
      <c r="B5" s="138" t="s">
        <v>32</v>
      </c>
      <c r="C5" s="138"/>
      <c r="D5" s="138"/>
      <c r="E5" s="140">
        <v>5000</v>
      </c>
      <c r="F5" s="140"/>
      <c r="G5" s="275"/>
      <c r="H5" s="132">
        <f t="shared" si="0"/>
        <v>5000</v>
      </c>
      <c r="K5" s="134"/>
    </row>
    <row r="6" spans="1:11" s="133" customFormat="1" ht="22.5" thickBot="1" thickTop="1">
      <c r="A6" s="135">
        <v>4</v>
      </c>
      <c r="B6" s="138" t="s">
        <v>34</v>
      </c>
      <c r="C6" s="141"/>
      <c r="D6" s="141"/>
      <c r="E6" s="142"/>
      <c r="F6" s="142"/>
      <c r="G6" s="142"/>
      <c r="H6" s="132">
        <f t="shared" si="0"/>
        <v>0</v>
      </c>
      <c r="I6" s="143"/>
      <c r="J6" s="143"/>
      <c r="K6" s="144"/>
    </row>
    <row r="7" spans="1:11" s="133" customFormat="1" ht="22.5" thickBot="1" thickTop="1">
      <c r="A7" s="129">
        <v>5</v>
      </c>
      <c r="B7" s="138" t="s">
        <v>11</v>
      </c>
      <c r="C7" s="138"/>
      <c r="D7" s="138"/>
      <c r="E7" s="139"/>
      <c r="F7" s="140"/>
      <c r="G7" s="275"/>
      <c r="H7" s="132">
        <f t="shared" si="0"/>
        <v>0</v>
      </c>
      <c r="I7" s="143">
        <f>SUM(E3:E7)</f>
        <v>9373868</v>
      </c>
      <c r="J7" s="143">
        <f>SUM(F3:F7)</f>
        <v>0</v>
      </c>
      <c r="K7" s="143">
        <f>SUM(H3:H7)</f>
        <v>9373868</v>
      </c>
    </row>
    <row r="8" spans="1:11" s="133" customFormat="1" ht="22.5" thickBot="1" thickTop="1">
      <c r="A8" s="135">
        <v>6</v>
      </c>
      <c r="B8" s="138" t="s">
        <v>33</v>
      </c>
      <c r="C8" s="141"/>
      <c r="D8" s="141"/>
      <c r="E8" s="145"/>
      <c r="F8" s="146"/>
      <c r="G8" s="276"/>
      <c r="H8" s="132">
        <f t="shared" si="0"/>
        <v>0</v>
      </c>
      <c r="I8" s="147"/>
      <c r="J8" s="147"/>
      <c r="K8" s="148"/>
    </row>
    <row r="9" spans="1:11" s="133" customFormat="1" ht="22.5" thickBot="1" thickTop="1">
      <c r="A9" s="135">
        <v>7</v>
      </c>
      <c r="B9" s="138" t="s">
        <v>59</v>
      </c>
      <c r="C9" s="141"/>
      <c r="D9" s="141"/>
      <c r="E9" s="145"/>
      <c r="F9" s="146"/>
      <c r="G9" s="276"/>
      <c r="H9" s="132">
        <f t="shared" si="0"/>
        <v>0</v>
      </c>
      <c r="I9" s="147">
        <f>SUM(E8:E9)</f>
        <v>0</v>
      </c>
      <c r="J9" s="147">
        <f>SUM(F8:F9)</f>
        <v>0</v>
      </c>
      <c r="K9" s="147">
        <f>SUM(H8:H9)</f>
        <v>0</v>
      </c>
    </row>
    <row r="10" spans="1:11" s="57" customFormat="1" ht="22.5" thickBot="1" thickTop="1">
      <c r="A10" s="61">
        <v>8</v>
      </c>
      <c r="B10" s="62" t="s">
        <v>182</v>
      </c>
      <c r="C10" s="62"/>
      <c r="D10" s="62"/>
      <c r="E10" s="70"/>
      <c r="F10" s="70"/>
      <c r="G10" s="277"/>
      <c r="H10" s="132">
        <f t="shared" si="0"/>
        <v>0</v>
      </c>
      <c r="K10" s="55"/>
    </row>
    <row r="11" spans="1:11" s="57" customFormat="1" ht="22.5" thickBot="1" thickTop="1">
      <c r="A11" s="61">
        <v>9</v>
      </c>
      <c r="B11" s="62" t="s">
        <v>65</v>
      </c>
      <c r="C11" s="66"/>
      <c r="D11" s="66"/>
      <c r="E11" s="67"/>
      <c r="F11" s="70"/>
      <c r="G11" s="277"/>
      <c r="H11" s="132">
        <f t="shared" si="0"/>
        <v>0</v>
      </c>
      <c r="I11" s="113"/>
      <c r="J11" s="68"/>
      <c r="K11" s="69"/>
    </row>
    <row r="12" spans="1:11" s="57" customFormat="1" ht="22.5" thickBot="1" thickTop="1">
      <c r="A12" s="103">
        <v>10</v>
      </c>
      <c r="B12" s="62" t="s">
        <v>64</v>
      </c>
      <c r="C12" s="62"/>
      <c r="D12" s="62"/>
      <c r="E12" s="70"/>
      <c r="F12" s="70"/>
      <c r="G12" s="277"/>
      <c r="H12" s="132">
        <f t="shared" si="0"/>
        <v>0</v>
      </c>
      <c r="K12" s="55"/>
    </row>
    <row r="13" spans="1:11" s="57" customFormat="1" ht="22.5" thickBot="1" thickTop="1">
      <c r="A13" s="103">
        <v>11</v>
      </c>
      <c r="B13" s="62" t="s">
        <v>37</v>
      </c>
      <c r="C13" s="62"/>
      <c r="D13" s="62"/>
      <c r="E13" s="70"/>
      <c r="F13" s="70"/>
      <c r="G13" s="277"/>
      <c r="H13" s="132">
        <f t="shared" si="0"/>
        <v>0</v>
      </c>
      <c r="K13" s="55"/>
    </row>
    <row r="14" spans="1:11" s="57" customFormat="1" ht="21.75" thickBot="1">
      <c r="A14" s="63"/>
      <c r="B14" s="65" t="s">
        <v>35</v>
      </c>
      <c r="C14" s="65"/>
      <c r="D14" s="65"/>
      <c r="E14" s="70">
        <f>SUM(E3:E13)</f>
        <v>9373868</v>
      </c>
      <c r="F14" s="70"/>
      <c r="G14" s="70"/>
      <c r="H14" s="70">
        <f>SUM(H3:H13)</f>
        <v>9373868</v>
      </c>
      <c r="K14" s="55"/>
    </row>
    <row r="15" spans="1:11" s="57" customFormat="1" ht="21.75" thickBot="1">
      <c r="A15" s="63"/>
      <c r="B15" s="65" t="s">
        <v>36</v>
      </c>
      <c r="C15" s="65"/>
      <c r="D15" s="65"/>
      <c r="E15" s="70"/>
      <c r="F15" s="70">
        <f>F14*100/E14</f>
        <v>0</v>
      </c>
      <c r="G15" s="70"/>
      <c r="H15" s="70"/>
      <c r="K15" s="55"/>
    </row>
    <row r="16" ht="21.75" thickBot="1">
      <c r="B16" s="59" t="s">
        <v>99</v>
      </c>
    </row>
    <row r="17" spans="1:8" ht="22.5" thickBot="1" thickTop="1">
      <c r="A17" s="127">
        <v>1</v>
      </c>
      <c r="B17" s="59" t="s">
        <v>95</v>
      </c>
      <c r="E17" s="64">
        <v>269000</v>
      </c>
      <c r="F17" s="64">
        <v>0</v>
      </c>
      <c r="H17" s="71">
        <f>E17-F17-G17</f>
        <v>269000</v>
      </c>
    </row>
    <row r="18" spans="2:8" ht="22.5" thickBot="1" thickTop="1">
      <c r="B18" s="59" t="s">
        <v>96</v>
      </c>
      <c r="H18" s="71">
        <f aca="true" t="shared" si="1" ref="H18:H39">E18-F18-G18</f>
        <v>0</v>
      </c>
    </row>
    <row r="19" spans="2:8" ht="22.5" thickBot="1" thickTop="1">
      <c r="B19" s="59" t="s">
        <v>100</v>
      </c>
      <c r="H19" s="71">
        <f t="shared" si="1"/>
        <v>0</v>
      </c>
    </row>
    <row r="20" spans="1:8" ht="22.5" thickBot="1" thickTop="1">
      <c r="A20" s="127">
        <v>1</v>
      </c>
      <c r="B20" s="290" t="s">
        <v>101</v>
      </c>
      <c r="E20" s="64">
        <v>55000</v>
      </c>
      <c r="F20" s="64">
        <v>0</v>
      </c>
      <c r="H20" s="71">
        <f t="shared" si="1"/>
        <v>55000</v>
      </c>
    </row>
    <row r="21" spans="2:8" ht="22.5" thickBot="1" thickTop="1">
      <c r="B21" s="59" t="s">
        <v>102</v>
      </c>
      <c r="H21" s="71">
        <f t="shared" si="1"/>
        <v>0</v>
      </c>
    </row>
    <row r="22" spans="2:8" ht="22.5" thickBot="1" thickTop="1">
      <c r="B22" s="59" t="s">
        <v>103</v>
      </c>
      <c r="H22" s="71">
        <f t="shared" si="1"/>
        <v>0</v>
      </c>
    </row>
    <row r="23" ht="22.5" thickBot="1" thickTop="1">
      <c r="H23" s="71">
        <f t="shared" si="1"/>
        <v>0</v>
      </c>
    </row>
    <row r="24" spans="2:8" ht="22.5" thickBot="1" thickTop="1">
      <c r="B24" s="121" t="s">
        <v>153</v>
      </c>
      <c r="H24" s="71">
        <f t="shared" si="1"/>
        <v>0</v>
      </c>
    </row>
    <row r="25" spans="1:11" s="133" customFormat="1" ht="22.5" thickBot="1" thickTop="1">
      <c r="A25" s="193">
        <v>1</v>
      </c>
      <c r="B25" s="194" t="s">
        <v>16</v>
      </c>
      <c r="C25" s="130"/>
      <c r="D25" s="130"/>
      <c r="E25" s="151">
        <v>9210900</v>
      </c>
      <c r="F25" s="151">
        <f>1647645.16+1653000</f>
        <v>3300645.16</v>
      </c>
      <c r="G25" s="278"/>
      <c r="H25" s="71">
        <f t="shared" si="1"/>
        <v>5910254.84</v>
      </c>
      <c r="K25" s="134"/>
    </row>
    <row r="26" spans="1:11" s="133" customFormat="1" ht="22.5" thickBot="1" thickTop="1">
      <c r="A26" s="195">
        <v>2</v>
      </c>
      <c r="B26" s="196" t="s">
        <v>104</v>
      </c>
      <c r="C26" s="136"/>
      <c r="D26" s="136"/>
      <c r="E26" s="153">
        <f>143364+14604</f>
        <v>157968</v>
      </c>
      <c r="F26" s="153">
        <f>11977+11884</f>
        <v>23861</v>
      </c>
      <c r="G26" s="153"/>
      <c r="H26" s="71">
        <f t="shared" si="1"/>
        <v>134107</v>
      </c>
      <c r="K26" s="134"/>
    </row>
    <row r="27" spans="1:11" s="133" customFormat="1" ht="22.5" thickBot="1" thickTop="1">
      <c r="A27" s="193">
        <v>3</v>
      </c>
      <c r="B27" s="197" t="s">
        <v>32</v>
      </c>
      <c r="C27" s="138"/>
      <c r="D27" s="138"/>
      <c r="E27" s="154">
        <v>5000</v>
      </c>
      <c r="F27" s="154">
        <v>5000</v>
      </c>
      <c r="G27" s="279"/>
      <c r="H27" s="71">
        <f t="shared" si="1"/>
        <v>0</v>
      </c>
      <c r="K27" s="134"/>
    </row>
    <row r="28" spans="1:11" s="133" customFormat="1" ht="22.5" thickBot="1" thickTop="1">
      <c r="A28" s="195">
        <v>4</v>
      </c>
      <c r="B28" s="197" t="s">
        <v>34</v>
      </c>
      <c r="C28" s="141"/>
      <c r="D28" s="141"/>
      <c r="E28" s="155">
        <v>1792433</v>
      </c>
      <c r="F28" s="155">
        <v>0</v>
      </c>
      <c r="G28" s="155"/>
      <c r="H28" s="71">
        <f t="shared" si="1"/>
        <v>1792433</v>
      </c>
      <c r="I28" s="143"/>
      <c r="J28" s="143"/>
      <c r="K28" s="144"/>
    </row>
    <row r="29" spans="1:11" s="133" customFormat="1" ht="22.5" thickBot="1" thickTop="1">
      <c r="A29" s="193">
        <v>5</v>
      </c>
      <c r="B29" s="197" t="s">
        <v>11</v>
      </c>
      <c r="C29" s="138"/>
      <c r="D29" s="138"/>
      <c r="E29" s="154">
        <v>57000</v>
      </c>
      <c r="F29" s="154">
        <v>12000</v>
      </c>
      <c r="G29" s="279"/>
      <c r="H29" s="71">
        <f t="shared" si="1"/>
        <v>45000</v>
      </c>
      <c r="I29" s="143">
        <f>SUM(E25:E29)</f>
        <v>11223301</v>
      </c>
      <c r="J29" s="143">
        <f>SUM(F25:F29)</f>
        <v>3341506.16</v>
      </c>
      <c r="K29" s="143">
        <f>SUM(H25:H29)</f>
        <v>7881794.84</v>
      </c>
    </row>
    <row r="30" spans="1:11" s="133" customFormat="1" ht="22.5" thickBot="1" thickTop="1">
      <c r="A30" s="135">
        <v>6</v>
      </c>
      <c r="B30" s="138" t="s">
        <v>33</v>
      </c>
      <c r="C30" s="141"/>
      <c r="D30" s="141"/>
      <c r="E30" s="145">
        <v>454700</v>
      </c>
      <c r="F30" s="146">
        <v>0</v>
      </c>
      <c r="G30" s="276"/>
      <c r="H30" s="71">
        <f t="shared" si="1"/>
        <v>454700</v>
      </c>
      <c r="I30" s="147"/>
      <c r="J30" s="147"/>
      <c r="K30" s="148"/>
    </row>
    <row r="31" spans="1:11" s="133" customFormat="1" ht="22.5" thickBot="1" thickTop="1">
      <c r="A31" s="135">
        <v>7</v>
      </c>
      <c r="B31" s="138" t="s">
        <v>59</v>
      </c>
      <c r="C31" s="141"/>
      <c r="D31" s="141"/>
      <c r="E31" s="145"/>
      <c r="F31" s="146"/>
      <c r="G31" s="276"/>
      <c r="H31" s="71">
        <f t="shared" si="1"/>
        <v>0</v>
      </c>
      <c r="I31" s="147"/>
      <c r="J31" s="147"/>
      <c r="K31" s="147"/>
    </row>
    <row r="32" spans="1:11" s="57" customFormat="1" ht="22.5" thickBot="1" thickTop="1">
      <c r="A32" s="198">
        <v>8</v>
      </c>
      <c r="B32" s="199" t="s">
        <v>182</v>
      </c>
      <c r="C32" s="62"/>
      <c r="D32" s="62"/>
      <c r="E32" s="156">
        <v>1876900</v>
      </c>
      <c r="F32" s="156">
        <v>0</v>
      </c>
      <c r="G32" s="280"/>
      <c r="H32" s="71">
        <f t="shared" si="1"/>
        <v>1876900</v>
      </c>
      <c r="K32" s="55"/>
    </row>
    <row r="33" spans="1:11" s="57" customFormat="1" ht="22.5" thickBot="1" thickTop="1">
      <c r="A33" s="61">
        <v>9</v>
      </c>
      <c r="B33" s="62" t="s">
        <v>65</v>
      </c>
      <c r="C33" s="66"/>
      <c r="D33" s="66"/>
      <c r="E33" s="67"/>
      <c r="F33" s="70"/>
      <c r="G33" s="277"/>
      <c r="H33" s="71">
        <f t="shared" si="1"/>
        <v>0</v>
      </c>
      <c r="I33" s="113"/>
      <c r="J33" s="68"/>
      <c r="K33" s="69"/>
    </row>
    <row r="34" spans="1:11" s="57" customFormat="1" ht="22.5" thickBot="1" thickTop="1">
      <c r="A34" s="103">
        <v>10</v>
      </c>
      <c r="B34" s="62" t="s">
        <v>154</v>
      </c>
      <c r="C34" s="62"/>
      <c r="D34" s="62"/>
      <c r="E34" s="70">
        <v>53100</v>
      </c>
      <c r="F34" s="70">
        <v>0</v>
      </c>
      <c r="G34" s="277"/>
      <c r="H34" s="71">
        <f t="shared" si="1"/>
        <v>53100</v>
      </c>
      <c r="K34" s="55"/>
    </row>
    <row r="35" spans="1:8" ht="22.5" thickBot="1" thickTop="1">
      <c r="A35" s="158">
        <v>11</v>
      </c>
      <c r="B35" s="289" t="s">
        <v>101</v>
      </c>
      <c r="C35" s="159"/>
      <c r="D35" s="159"/>
      <c r="E35" s="157">
        <v>55000</v>
      </c>
      <c r="F35" s="157">
        <v>55000</v>
      </c>
      <c r="G35" s="157"/>
      <c r="H35" s="71">
        <f t="shared" si="1"/>
        <v>0</v>
      </c>
    </row>
    <row r="36" spans="1:8" ht="22.5" thickBot="1" thickTop="1">
      <c r="A36" s="159"/>
      <c r="B36" s="159" t="s">
        <v>102</v>
      </c>
      <c r="C36" s="159"/>
      <c r="D36" s="159"/>
      <c r="E36" s="157"/>
      <c r="F36" s="157"/>
      <c r="G36" s="157"/>
      <c r="H36" s="71">
        <f t="shared" si="1"/>
        <v>0</v>
      </c>
    </row>
    <row r="37" spans="1:8" ht="22.5" thickBot="1" thickTop="1">
      <c r="A37" s="159"/>
      <c r="B37" s="159" t="s">
        <v>103</v>
      </c>
      <c r="C37" s="159"/>
      <c r="D37" s="159"/>
      <c r="E37" s="157"/>
      <c r="F37" s="157"/>
      <c r="G37" s="157"/>
      <c r="H37" s="71">
        <f t="shared" si="1"/>
        <v>0</v>
      </c>
    </row>
    <row r="38" spans="1:11" s="57" customFormat="1" ht="22.5" thickBot="1" thickTop="1">
      <c r="A38" s="188">
        <v>12</v>
      </c>
      <c r="B38" s="189" t="s">
        <v>156</v>
      </c>
      <c r="C38" s="189"/>
      <c r="D38" s="189"/>
      <c r="E38" s="190">
        <v>8350</v>
      </c>
      <c r="F38" s="190">
        <v>0</v>
      </c>
      <c r="G38" s="281"/>
      <c r="H38" s="71">
        <f t="shared" si="1"/>
        <v>8350</v>
      </c>
      <c r="I38" s="191">
        <f>SUM(E35:E38)</f>
        <v>63350</v>
      </c>
      <c r="J38" s="143">
        <f>SUM(F34:F38)</f>
        <v>55000</v>
      </c>
      <c r="K38" s="143">
        <f>SUM(H35:H38)</f>
        <v>8350</v>
      </c>
    </row>
    <row r="39" spans="1:11" s="57" customFormat="1" ht="22.5" thickBot="1" thickTop="1">
      <c r="A39" s="63"/>
      <c r="B39" s="65" t="s">
        <v>35</v>
      </c>
      <c r="C39" s="65"/>
      <c r="D39" s="65"/>
      <c r="E39" s="70">
        <f>SUM(E25:E38)</f>
        <v>13671351</v>
      </c>
      <c r="F39" s="70">
        <f>SUM(F25:F38)</f>
        <v>3396506.16</v>
      </c>
      <c r="G39" s="70"/>
      <c r="H39" s="71">
        <f t="shared" si="1"/>
        <v>10274844.84</v>
      </c>
      <c r="K39" s="55"/>
    </row>
    <row r="40" spans="1:11" s="57" customFormat="1" ht="21.75" thickBot="1">
      <c r="A40" s="63"/>
      <c r="B40" s="65" t="s">
        <v>36</v>
      </c>
      <c r="C40" s="65"/>
      <c r="D40" s="65"/>
      <c r="E40" s="70"/>
      <c r="F40" s="70">
        <f>F39*100/E39</f>
        <v>24.843968675809727</v>
      </c>
      <c r="G40" s="70"/>
      <c r="H40" s="70"/>
      <c r="K40" s="55"/>
    </row>
    <row r="41" spans="1:8" ht="21.75" thickBot="1">
      <c r="A41" s="161"/>
      <c r="B41" s="161" t="s">
        <v>155</v>
      </c>
      <c r="C41" s="161"/>
      <c r="D41" s="161"/>
      <c r="E41" s="162"/>
      <c r="F41" s="162"/>
      <c r="G41" s="162"/>
      <c r="H41" s="162"/>
    </row>
    <row r="42" spans="1:8" ht="22.5" thickBot="1" thickTop="1">
      <c r="A42" s="160">
        <v>1</v>
      </c>
      <c r="B42" s="161" t="s">
        <v>95</v>
      </c>
      <c r="C42" s="161"/>
      <c r="D42" s="161"/>
      <c r="E42" s="162">
        <v>269000</v>
      </c>
      <c r="F42" s="162">
        <v>226000</v>
      </c>
      <c r="G42" s="162"/>
      <c r="H42" s="163">
        <f>E42-F42-G42</f>
        <v>43000</v>
      </c>
    </row>
    <row r="43" spans="1:8" ht="21">
      <c r="A43" s="161"/>
      <c r="B43" s="161" t="s">
        <v>96</v>
      </c>
      <c r="C43" s="161"/>
      <c r="D43" s="161"/>
      <c r="E43" s="162"/>
      <c r="F43" s="162"/>
      <c r="G43" s="162"/>
      <c r="H43" s="162"/>
    </row>
    <row r="44" spans="1:8" ht="21">
      <c r="A44" s="161"/>
      <c r="B44" s="161"/>
      <c r="C44" s="161"/>
      <c r="D44" s="161"/>
      <c r="E44" s="162"/>
      <c r="F44" s="162"/>
      <c r="G44" s="162"/>
      <c r="H44" s="162"/>
    </row>
    <row r="45" spans="1:8" ht="21.75" thickBot="1">
      <c r="A45" s="181"/>
      <c r="B45" s="181" t="s">
        <v>106</v>
      </c>
      <c r="C45" s="181"/>
      <c r="D45" s="181"/>
      <c r="E45" s="155"/>
      <c r="F45" s="155"/>
      <c r="G45" s="155"/>
      <c r="H45" s="155"/>
    </row>
    <row r="46" spans="1:8" ht="22.5" thickBot="1" thickTop="1">
      <c r="A46" s="181"/>
      <c r="B46" s="181" t="s">
        <v>107</v>
      </c>
      <c r="C46" s="181"/>
      <c r="D46" s="181"/>
      <c r="E46" s="155">
        <v>2495000</v>
      </c>
      <c r="F46" s="155">
        <v>2495000</v>
      </c>
      <c r="G46" s="155"/>
      <c r="H46" s="152">
        <f>E46-F46-G46</f>
        <v>0</v>
      </c>
    </row>
    <row r="47" spans="1:8" ht="22.5" thickBot="1" thickTop="1">
      <c r="A47" s="181"/>
      <c r="B47" s="181" t="s">
        <v>108</v>
      </c>
      <c r="C47" s="181"/>
      <c r="D47" s="181"/>
      <c r="E47" s="155">
        <v>1000000</v>
      </c>
      <c r="F47" s="155">
        <v>1000000</v>
      </c>
      <c r="G47" s="155"/>
      <c r="H47" s="152">
        <f>E47-F47-G47</f>
        <v>0</v>
      </c>
    </row>
    <row r="48" spans="1:8" ht="21">
      <c r="A48" s="181"/>
      <c r="B48" s="181"/>
      <c r="C48" s="181"/>
      <c r="D48" s="181"/>
      <c r="E48" s="155"/>
      <c r="F48" s="155"/>
      <c r="G48" s="155"/>
      <c r="H48" s="182"/>
    </row>
    <row r="50" spans="2:11" s="183" customFormat="1" ht="21.75" thickBot="1">
      <c r="B50" s="200" t="s">
        <v>183</v>
      </c>
      <c r="E50" s="184"/>
      <c r="F50" s="184"/>
      <c r="G50" s="184"/>
      <c r="H50" s="184"/>
      <c r="K50" s="192"/>
    </row>
    <row r="51" spans="1:11" s="227" customFormat="1" ht="22.5" thickBot="1" thickTop="1">
      <c r="A51" s="222">
        <v>1</v>
      </c>
      <c r="B51" s="223" t="s">
        <v>16</v>
      </c>
      <c r="C51" s="224"/>
      <c r="D51" s="224"/>
      <c r="E51" s="225">
        <v>9210900</v>
      </c>
      <c r="F51" s="225">
        <f>1647645.16+1653000</f>
        <v>3300645.16</v>
      </c>
      <c r="G51" s="282"/>
      <c r="H51" s="226">
        <f>E51-F51-G51</f>
        <v>5910254.84</v>
      </c>
      <c r="K51" s="228"/>
    </row>
    <row r="52" spans="1:11" s="227" customFormat="1" ht="22.5" thickBot="1" thickTop="1">
      <c r="A52" s="229">
        <v>2</v>
      </c>
      <c r="B52" s="230" t="s">
        <v>104</v>
      </c>
      <c r="C52" s="231"/>
      <c r="D52" s="231"/>
      <c r="E52" s="232">
        <f>143364+14604</f>
        <v>157968</v>
      </c>
      <c r="F52" s="232">
        <v>47816</v>
      </c>
      <c r="G52" s="232"/>
      <c r="H52" s="226">
        <f aca="true" t="shared" si="2" ref="H52:H65">E52-F52-G52</f>
        <v>110152</v>
      </c>
      <c r="K52" s="228"/>
    </row>
    <row r="53" spans="1:11" s="227" customFormat="1" ht="22.5" thickBot="1" thickTop="1">
      <c r="A53" s="222">
        <v>3</v>
      </c>
      <c r="B53" s="233" t="s">
        <v>32</v>
      </c>
      <c r="C53" s="234"/>
      <c r="D53" s="234"/>
      <c r="E53" s="235">
        <v>5000</v>
      </c>
      <c r="F53" s="235">
        <v>5000</v>
      </c>
      <c r="G53" s="283"/>
      <c r="H53" s="226">
        <f t="shared" si="2"/>
        <v>0</v>
      </c>
      <c r="K53" s="228"/>
    </row>
    <row r="54" spans="1:11" s="227" customFormat="1" ht="22.5" thickBot="1" thickTop="1">
      <c r="A54" s="229">
        <v>4</v>
      </c>
      <c r="B54" s="233" t="s">
        <v>34</v>
      </c>
      <c r="C54" s="236"/>
      <c r="D54" s="236"/>
      <c r="E54" s="237">
        <v>1792433</v>
      </c>
      <c r="F54" s="237">
        <v>0</v>
      </c>
      <c r="G54" s="237"/>
      <c r="H54" s="226">
        <f t="shared" si="2"/>
        <v>1792433</v>
      </c>
      <c r="I54" s="238"/>
      <c r="J54" s="238"/>
      <c r="K54" s="239"/>
    </row>
    <row r="55" spans="1:11" s="227" customFormat="1" ht="22.5" thickBot="1" thickTop="1">
      <c r="A55" s="222">
        <v>5</v>
      </c>
      <c r="B55" s="233" t="s">
        <v>11</v>
      </c>
      <c r="C55" s="234"/>
      <c r="D55" s="234"/>
      <c r="E55" s="235">
        <v>57000</v>
      </c>
      <c r="F55" s="235">
        <v>18000</v>
      </c>
      <c r="G55" s="283">
        <v>21000</v>
      </c>
      <c r="H55" s="226">
        <f t="shared" si="2"/>
        <v>18000</v>
      </c>
      <c r="I55" s="238">
        <f>SUM(E51:E55)</f>
        <v>11223301</v>
      </c>
      <c r="J55" s="238">
        <f>SUM(F51:F55)</f>
        <v>3371461.16</v>
      </c>
      <c r="K55" s="238">
        <f>SUM(H51:H55)</f>
        <v>7830839.84</v>
      </c>
    </row>
    <row r="56" spans="1:11" s="227" customFormat="1" ht="22.5" thickBot="1" thickTop="1">
      <c r="A56" s="240">
        <v>6</v>
      </c>
      <c r="B56" s="234" t="s">
        <v>33</v>
      </c>
      <c r="C56" s="236"/>
      <c r="D56" s="236"/>
      <c r="E56" s="241">
        <v>454700</v>
      </c>
      <c r="F56" s="242">
        <v>234600</v>
      </c>
      <c r="G56" s="284"/>
      <c r="H56" s="226">
        <f t="shared" si="2"/>
        <v>220100</v>
      </c>
      <c r="I56" s="243"/>
      <c r="J56" s="243"/>
      <c r="K56" s="244"/>
    </row>
    <row r="57" spans="1:11" s="227" customFormat="1" ht="22.5" thickBot="1" thickTop="1">
      <c r="A57" s="240">
        <v>7</v>
      </c>
      <c r="B57" s="234" t="s">
        <v>59</v>
      </c>
      <c r="C57" s="236"/>
      <c r="D57" s="236"/>
      <c r="E57" s="241"/>
      <c r="F57" s="242"/>
      <c r="G57" s="284"/>
      <c r="H57" s="226">
        <f t="shared" si="2"/>
        <v>0</v>
      </c>
      <c r="I57" s="243"/>
      <c r="J57" s="243"/>
      <c r="K57" s="243"/>
    </row>
    <row r="58" spans="1:11" s="249" customFormat="1" ht="22.5" thickBot="1" thickTop="1">
      <c r="A58" s="245">
        <v>8</v>
      </c>
      <c r="B58" s="246" t="s">
        <v>182</v>
      </c>
      <c r="C58" s="247"/>
      <c r="D58" s="247"/>
      <c r="E58" s="248">
        <v>1876900</v>
      </c>
      <c r="F58" s="248">
        <v>0</v>
      </c>
      <c r="G58" s="285"/>
      <c r="H58" s="226">
        <f t="shared" si="2"/>
        <v>1876900</v>
      </c>
      <c r="K58" s="250"/>
    </row>
    <row r="59" spans="1:11" s="249" customFormat="1" ht="22.5" thickBot="1" thickTop="1">
      <c r="A59" s="251">
        <v>9</v>
      </c>
      <c r="B59" s="247" t="s">
        <v>65</v>
      </c>
      <c r="C59" s="252"/>
      <c r="D59" s="252"/>
      <c r="E59" s="253"/>
      <c r="F59" s="254"/>
      <c r="G59" s="286"/>
      <c r="H59" s="226">
        <f t="shared" si="2"/>
        <v>0</v>
      </c>
      <c r="I59" s="255"/>
      <c r="J59" s="255"/>
      <c r="K59" s="256"/>
    </row>
    <row r="60" spans="1:11" s="249" customFormat="1" ht="22.5" thickBot="1" thickTop="1">
      <c r="A60" s="257">
        <v>10</v>
      </c>
      <c r="B60" s="247" t="s">
        <v>154</v>
      </c>
      <c r="C60" s="247"/>
      <c r="D60" s="247"/>
      <c r="E60" s="254">
        <v>53100</v>
      </c>
      <c r="F60" s="254">
        <v>0</v>
      </c>
      <c r="G60" s="286"/>
      <c r="H60" s="226">
        <f t="shared" si="2"/>
        <v>53100</v>
      </c>
      <c r="K60" s="250"/>
    </row>
    <row r="61" spans="1:11" s="261" customFormat="1" ht="22.5" thickBot="1" thickTop="1">
      <c r="A61" s="258">
        <v>11</v>
      </c>
      <c r="B61" s="288" t="s">
        <v>101</v>
      </c>
      <c r="C61" s="259"/>
      <c r="D61" s="259"/>
      <c r="E61" s="260">
        <v>55000</v>
      </c>
      <c r="F61" s="260">
        <v>55000</v>
      </c>
      <c r="G61" s="260"/>
      <c r="H61" s="291">
        <f t="shared" si="2"/>
        <v>0</v>
      </c>
      <c r="K61" s="262"/>
    </row>
    <row r="62" spans="1:11" s="261" customFormat="1" ht="22.5" thickBot="1" thickTop="1">
      <c r="A62" s="259"/>
      <c r="B62" s="259" t="s">
        <v>102</v>
      </c>
      <c r="C62" s="259"/>
      <c r="D62" s="259"/>
      <c r="E62" s="260"/>
      <c r="F62" s="260"/>
      <c r="G62" s="260"/>
      <c r="H62" s="291"/>
      <c r="K62" s="262"/>
    </row>
    <row r="63" spans="1:11" s="261" customFormat="1" ht="22.5" thickBot="1" thickTop="1">
      <c r="A63" s="259"/>
      <c r="B63" s="259" t="s">
        <v>103</v>
      </c>
      <c r="C63" s="259"/>
      <c r="D63" s="259"/>
      <c r="E63" s="260"/>
      <c r="F63" s="260"/>
      <c r="G63" s="260"/>
      <c r="H63" s="291"/>
      <c r="K63" s="262"/>
    </row>
    <row r="64" spans="1:15" s="249" customFormat="1" ht="22.5" thickBot="1" thickTop="1">
      <c r="A64" s="263">
        <v>12</v>
      </c>
      <c r="B64" s="264" t="s">
        <v>156</v>
      </c>
      <c r="C64" s="264"/>
      <c r="D64" s="264"/>
      <c r="E64" s="265">
        <v>8350</v>
      </c>
      <c r="F64" s="265">
        <v>0</v>
      </c>
      <c r="G64" s="287"/>
      <c r="H64" s="291">
        <f t="shared" si="2"/>
        <v>8350</v>
      </c>
      <c r="I64" s="266">
        <f>SUM(E61:E64)</f>
        <v>63350</v>
      </c>
      <c r="J64" s="238">
        <f>SUM(F60:F64)</f>
        <v>55000</v>
      </c>
      <c r="K64" s="238">
        <f>SUM(H61:H64)</f>
        <v>8350</v>
      </c>
      <c r="L64" s="266">
        <f>E51+E52+E53+E54++E55+E56+E58+E60+E64</f>
        <v>13616351</v>
      </c>
      <c r="M64" s="266">
        <f>F51+F52+F53+F54++F55+F56+F58+F60+F64</f>
        <v>3606061.16</v>
      </c>
      <c r="N64" s="266">
        <f>G51+G52+G53+G54++G55+G56+G58+G60+G64</f>
        <v>21000</v>
      </c>
      <c r="O64" s="266">
        <f>H51+H52+H53+H54++H55+H56+H58+H60+H64</f>
        <v>9989289.84</v>
      </c>
    </row>
    <row r="65" spans="1:11" s="249" customFormat="1" ht="22.5" thickBot="1" thickTop="1">
      <c r="A65" s="267"/>
      <c r="B65" s="268" t="s">
        <v>35</v>
      </c>
      <c r="C65" s="268"/>
      <c r="D65" s="268"/>
      <c r="E65" s="254">
        <f>SUM(E51:E64)</f>
        <v>13671351</v>
      </c>
      <c r="F65" s="254">
        <f>SUM(F51:F64)</f>
        <v>3661061.16</v>
      </c>
      <c r="G65" s="254">
        <f>SUM(G51:G64)</f>
        <v>21000</v>
      </c>
      <c r="H65" s="226">
        <f t="shared" si="2"/>
        <v>9989289.84</v>
      </c>
      <c r="K65" s="250"/>
    </row>
    <row r="66" spans="1:11" s="249" customFormat="1" ht="21.75" thickBot="1">
      <c r="A66" s="267"/>
      <c r="B66" s="268" t="s">
        <v>36</v>
      </c>
      <c r="C66" s="268"/>
      <c r="D66" s="268"/>
      <c r="E66" s="254"/>
      <c r="F66" s="254">
        <f>F65*100/E65</f>
        <v>26.779073699446382</v>
      </c>
      <c r="G66" s="254"/>
      <c r="H66" s="254"/>
      <c r="K66" s="250"/>
    </row>
    <row r="67" spans="1:11" s="261" customFormat="1" ht="21.75" thickBot="1">
      <c r="A67" s="269"/>
      <c r="B67" s="269" t="s">
        <v>184</v>
      </c>
      <c r="C67" s="269"/>
      <c r="D67" s="269"/>
      <c r="E67" s="270"/>
      <c r="F67" s="270"/>
      <c r="G67" s="270"/>
      <c r="H67" s="270"/>
      <c r="K67" s="262"/>
    </row>
    <row r="68" spans="1:11" s="261" customFormat="1" ht="22.5" thickBot="1" thickTop="1">
      <c r="A68" s="271">
        <v>1</v>
      </c>
      <c r="B68" s="269" t="s">
        <v>95</v>
      </c>
      <c r="C68" s="269"/>
      <c r="D68" s="269"/>
      <c r="E68" s="270">
        <v>269000</v>
      </c>
      <c r="F68" s="270">
        <v>226000</v>
      </c>
      <c r="G68" s="270">
        <v>43000</v>
      </c>
      <c r="H68" s="272">
        <f>E68-F68-G68</f>
        <v>0</v>
      </c>
      <c r="K68" s="262"/>
    </row>
    <row r="69" spans="1:11" s="261" customFormat="1" ht="21">
      <c r="A69" s="269"/>
      <c r="B69" s="269" t="s">
        <v>96</v>
      </c>
      <c r="C69" s="269"/>
      <c r="D69" s="269"/>
      <c r="E69" s="270"/>
      <c r="F69" s="270"/>
      <c r="G69" s="270"/>
      <c r="H69" s="270"/>
      <c r="K69" s="262"/>
    </row>
    <row r="70" spans="1:11" s="261" customFormat="1" ht="21">
      <c r="A70" s="269"/>
      <c r="B70" s="269"/>
      <c r="C70" s="269"/>
      <c r="D70" s="269"/>
      <c r="E70" s="270"/>
      <c r="F70" s="270"/>
      <c r="G70" s="270"/>
      <c r="H70" s="270"/>
      <c r="K70" s="262"/>
    </row>
    <row r="71" spans="1:11" s="261" customFormat="1" ht="21.75" thickBot="1">
      <c r="A71" s="273"/>
      <c r="B71" s="273" t="s">
        <v>106</v>
      </c>
      <c r="C71" s="273"/>
      <c r="D71" s="273"/>
      <c r="E71" s="237"/>
      <c r="F71" s="237"/>
      <c r="G71" s="237"/>
      <c r="H71" s="237"/>
      <c r="K71" s="262"/>
    </row>
    <row r="72" spans="1:11" s="261" customFormat="1" ht="22.5" thickBot="1" thickTop="1">
      <c r="A72" s="273"/>
      <c r="B72" s="273" t="s">
        <v>107</v>
      </c>
      <c r="C72" s="273"/>
      <c r="D72" s="273"/>
      <c r="E72" s="237">
        <v>2495000</v>
      </c>
      <c r="F72" s="237">
        <v>2495000</v>
      </c>
      <c r="G72" s="237">
        <v>0</v>
      </c>
      <c r="H72" s="226">
        <f>E72-F72-G72</f>
        <v>0</v>
      </c>
      <c r="K72" s="262"/>
    </row>
    <row r="73" spans="1:11" s="261" customFormat="1" ht="22.5" thickBot="1" thickTop="1">
      <c r="A73" s="273"/>
      <c r="B73" s="273" t="s">
        <v>108</v>
      </c>
      <c r="C73" s="273"/>
      <c r="D73" s="273"/>
      <c r="E73" s="237">
        <v>1000000</v>
      </c>
      <c r="F73" s="237">
        <v>1000000</v>
      </c>
      <c r="G73" s="237">
        <v>0</v>
      </c>
      <c r="H73" s="226">
        <f>E73-F73-G73</f>
        <v>0</v>
      </c>
      <c r="K73" s="262"/>
    </row>
    <row r="74" spans="1:11" s="183" customFormat="1" ht="21">
      <c r="A74" s="186"/>
      <c r="B74" s="186"/>
      <c r="C74" s="186"/>
      <c r="D74" s="186"/>
      <c r="E74" s="185"/>
      <c r="F74" s="185"/>
      <c r="G74" s="185"/>
      <c r="H74" s="187"/>
      <c r="K74" s="192"/>
    </row>
    <row r="75" spans="2:11" s="183" customFormat="1" ht="21.75" thickBot="1">
      <c r="B75" s="200" t="s">
        <v>198</v>
      </c>
      <c r="E75" s="184"/>
      <c r="F75" s="184"/>
      <c r="G75" s="184"/>
      <c r="H75" s="184"/>
      <c r="K75" s="192"/>
    </row>
    <row r="76" spans="1:11" s="227" customFormat="1" ht="22.5" thickBot="1" thickTop="1">
      <c r="A76" s="222">
        <v>1</v>
      </c>
      <c r="B76" s="223" t="s">
        <v>16</v>
      </c>
      <c r="C76" s="224"/>
      <c r="D76" s="224"/>
      <c r="E76" s="225">
        <v>9210900</v>
      </c>
      <c r="F76" s="225">
        <v>5043645.16</v>
      </c>
      <c r="G76" s="282"/>
      <c r="H76" s="226">
        <f>E76-F76-G76</f>
        <v>4167254.84</v>
      </c>
      <c r="K76" s="228"/>
    </row>
    <row r="77" spans="1:11" s="227" customFormat="1" ht="22.5" thickBot="1" thickTop="1">
      <c r="A77" s="229">
        <v>2</v>
      </c>
      <c r="B77" s="230" t="s">
        <v>104</v>
      </c>
      <c r="C77" s="231"/>
      <c r="D77" s="231"/>
      <c r="E77" s="232">
        <f>143364+14604</f>
        <v>157968</v>
      </c>
      <c r="F77" s="232">
        <v>88775</v>
      </c>
      <c r="G77" s="232"/>
      <c r="H77" s="226">
        <f aca="true" t="shared" si="3" ref="H77:H86">E77-F77-G77</f>
        <v>69193</v>
      </c>
      <c r="K77" s="228"/>
    </row>
    <row r="78" spans="1:11" s="227" customFormat="1" ht="22.5" thickBot="1" thickTop="1">
      <c r="A78" s="222">
        <v>3</v>
      </c>
      <c r="B78" s="233" t="s">
        <v>32</v>
      </c>
      <c r="C78" s="234"/>
      <c r="D78" s="234"/>
      <c r="E78" s="235">
        <v>5000</v>
      </c>
      <c r="F78" s="235">
        <v>5000</v>
      </c>
      <c r="G78" s="283"/>
      <c r="H78" s="226">
        <f t="shared" si="3"/>
        <v>0</v>
      </c>
      <c r="K78" s="228"/>
    </row>
    <row r="79" spans="1:11" s="227" customFormat="1" ht="22.5" thickBot="1" thickTop="1">
      <c r="A79" s="229">
        <v>4</v>
      </c>
      <c r="B79" s="233" t="s">
        <v>34</v>
      </c>
      <c r="C79" s="236"/>
      <c r="D79" s="236"/>
      <c r="E79" s="237">
        <v>1792433</v>
      </c>
      <c r="F79" s="237">
        <v>1792433</v>
      </c>
      <c r="G79" s="237"/>
      <c r="H79" s="226">
        <f t="shared" si="3"/>
        <v>0</v>
      </c>
      <c r="I79" s="238"/>
      <c r="J79" s="238"/>
      <c r="K79" s="239"/>
    </row>
    <row r="80" spans="1:11" s="227" customFormat="1" ht="22.5" thickBot="1" thickTop="1">
      <c r="A80" s="222">
        <v>5</v>
      </c>
      <c r="B80" s="233" t="s">
        <v>11</v>
      </c>
      <c r="C80" s="234"/>
      <c r="D80" s="234"/>
      <c r="E80" s="235">
        <v>57000</v>
      </c>
      <c r="F80" s="235">
        <v>24000</v>
      </c>
      <c r="G80" s="283">
        <v>21000</v>
      </c>
      <c r="H80" s="226">
        <f t="shared" si="3"/>
        <v>12000</v>
      </c>
      <c r="I80" s="238">
        <f>SUM(E76:E80)</f>
        <v>11223301</v>
      </c>
      <c r="J80" s="238">
        <f>SUM(F76:F80)</f>
        <v>6953853.16</v>
      </c>
      <c r="K80" s="238">
        <f>SUM(H76:H80)</f>
        <v>4248447.84</v>
      </c>
    </row>
    <row r="81" spans="1:11" s="227" customFormat="1" ht="22.5" thickBot="1" thickTop="1">
      <c r="A81" s="240">
        <v>6</v>
      </c>
      <c r="B81" s="234" t="s">
        <v>33</v>
      </c>
      <c r="C81" s="236"/>
      <c r="D81" s="236"/>
      <c r="E81" s="241">
        <v>454700</v>
      </c>
      <c r="F81" s="242">
        <v>347475</v>
      </c>
      <c r="G81" s="284"/>
      <c r="H81" s="226">
        <f t="shared" si="3"/>
        <v>107225</v>
      </c>
      <c r="I81" s="243"/>
      <c r="J81" s="243"/>
      <c r="K81" s="244"/>
    </row>
    <row r="82" spans="1:11" s="227" customFormat="1" ht="22.5" thickBot="1" thickTop="1">
      <c r="A82" s="240">
        <v>7</v>
      </c>
      <c r="B82" s="234" t="s">
        <v>59</v>
      </c>
      <c r="C82" s="236"/>
      <c r="D82" s="236"/>
      <c r="E82" s="241"/>
      <c r="F82" s="242"/>
      <c r="G82" s="284"/>
      <c r="H82" s="226">
        <f t="shared" si="3"/>
        <v>0</v>
      </c>
      <c r="I82" s="243"/>
      <c r="J82" s="243"/>
      <c r="K82" s="243"/>
    </row>
    <row r="83" spans="1:11" s="249" customFormat="1" ht="22.5" thickBot="1" thickTop="1">
      <c r="A83" s="245">
        <v>8</v>
      </c>
      <c r="B83" s="246" t="s">
        <v>182</v>
      </c>
      <c r="C83" s="247"/>
      <c r="D83" s="247"/>
      <c r="E83" s="248">
        <v>1876900</v>
      </c>
      <c r="F83" s="248">
        <v>0</v>
      </c>
      <c r="G83" s="285"/>
      <c r="H83" s="226">
        <f t="shared" si="3"/>
        <v>1876900</v>
      </c>
      <c r="I83" s="227"/>
      <c r="K83" s="250"/>
    </row>
    <row r="84" spans="1:11" s="249" customFormat="1" ht="22.5" thickBot="1" thickTop="1">
      <c r="A84" s="251">
        <v>9</v>
      </c>
      <c r="B84" s="247" t="s">
        <v>65</v>
      </c>
      <c r="C84" s="252"/>
      <c r="D84" s="252"/>
      <c r="E84" s="253"/>
      <c r="F84" s="254"/>
      <c r="G84" s="286"/>
      <c r="H84" s="226">
        <f t="shared" si="3"/>
        <v>0</v>
      </c>
      <c r="I84" s="243"/>
      <c r="J84" s="255"/>
      <c r="K84" s="256"/>
    </row>
    <row r="85" spans="1:11" s="249" customFormat="1" ht="22.5" thickBot="1" thickTop="1">
      <c r="A85" s="257">
        <v>10</v>
      </c>
      <c r="B85" s="247" t="s">
        <v>154</v>
      </c>
      <c r="C85" s="247"/>
      <c r="D85" s="247"/>
      <c r="E85" s="254">
        <v>53100</v>
      </c>
      <c r="F85" s="254">
        <v>0</v>
      </c>
      <c r="G85" s="286"/>
      <c r="H85" s="226">
        <f t="shared" si="3"/>
        <v>53100</v>
      </c>
      <c r="I85" s="227"/>
      <c r="K85" s="250"/>
    </row>
    <row r="86" spans="1:11" s="261" customFormat="1" ht="22.5" thickBot="1" thickTop="1">
      <c r="A86" s="258">
        <v>11</v>
      </c>
      <c r="B86" s="288" t="s">
        <v>101</v>
      </c>
      <c r="C86" s="259"/>
      <c r="D86" s="259"/>
      <c r="E86" s="260">
        <v>55000</v>
      </c>
      <c r="F86" s="260">
        <v>55000</v>
      </c>
      <c r="G86" s="260"/>
      <c r="H86" s="291">
        <f t="shared" si="3"/>
        <v>0</v>
      </c>
      <c r="I86" s="227"/>
      <c r="K86" s="262"/>
    </row>
    <row r="87" spans="1:11" s="261" customFormat="1" ht="22.5" thickBot="1" thickTop="1">
      <c r="A87" s="259"/>
      <c r="B87" s="259" t="s">
        <v>102</v>
      </c>
      <c r="C87" s="259"/>
      <c r="D87" s="259"/>
      <c r="E87" s="260"/>
      <c r="F87" s="260"/>
      <c r="G87" s="260"/>
      <c r="H87" s="291"/>
      <c r="I87" s="227"/>
      <c r="K87" s="262"/>
    </row>
    <row r="88" spans="1:11" s="261" customFormat="1" ht="22.5" thickBot="1" thickTop="1">
      <c r="A88" s="259"/>
      <c r="B88" s="259" t="s">
        <v>103</v>
      </c>
      <c r="C88" s="259"/>
      <c r="D88" s="259"/>
      <c r="E88" s="260"/>
      <c r="F88" s="260"/>
      <c r="G88" s="260"/>
      <c r="H88" s="291"/>
      <c r="I88" s="227"/>
      <c r="K88" s="262"/>
    </row>
    <row r="89" spans="1:15" s="249" customFormat="1" ht="22.5" thickBot="1" thickTop="1">
      <c r="A89" s="263">
        <v>12</v>
      </c>
      <c r="B89" s="264" t="s">
        <v>156</v>
      </c>
      <c r="C89" s="264"/>
      <c r="D89" s="264"/>
      <c r="E89" s="265">
        <v>8350</v>
      </c>
      <c r="F89" s="265">
        <v>0</v>
      </c>
      <c r="G89" s="265">
        <v>0</v>
      </c>
      <c r="H89" s="291">
        <f>E89-F89-G89</f>
        <v>8350</v>
      </c>
      <c r="I89" s="294">
        <f>SUM(E86:E89)</f>
        <v>63350</v>
      </c>
      <c r="J89" s="238">
        <f>SUM(F85:F89)</f>
        <v>55000</v>
      </c>
      <c r="K89" s="238">
        <f>SUM(H86:H89)</f>
        <v>8350</v>
      </c>
      <c r="L89" s="266">
        <f>E76+E77+E78+E79++E80+E81+E83+E85+E89</f>
        <v>13616351</v>
      </c>
      <c r="M89" s="266">
        <f>F76+F77+F78+F79++F80+F81+F83+F85+F89</f>
        <v>7301328.16</v>
      </c>
      <c r="N89" s="266">
        <f>G76+G77+G78+G79++G80+G81+G83+G85+G89</f>
        <v>21000</v>
      </c>
      <c r="O89" s="266">
        <f>H76+H77+H78+H79++H80+H81+H83+H85+H89</f>
        <v>6294022.84</v>
      </c>
    </row>
    <row r="90" spans="1:11" s="249" customFormat="1" ht="22.5" thickBot="1" thickTop="1">
      <c r="A90" s="267"/>
      <c r="B90" s="268" t="s">
        <v>35</v>
      </c>
      <c r="C90" s="268"/>
      <c r="D90" s="268"/>
      <c r="E90" s="254">
        <f>SUM(E76:E89)</f>
        <v>13671351</v>
      </c>
      <c r="F90" s="254">
        <f>SUM(F76:F89)</f>
        <v>7356328.16</v>
      </c>
      <c r="G90" s="254">
        <f>SUM(G76:G89)</f>
        <v>21000</v>
      </c>
      <c r="H90" s="226">
        <f>E90-F90-G90</f>
        <v>6294022.84</v>
      </c>
      <c r="K90" s="250"/>
    </row>
    <row r="91" spans="1:11" s="249" customFormat="1" ht="21.75" thickBot="1">
      <c r="A91" s="267"/>
      <c r="B91" s="268" t="s">
        <v>36</v>
      </c>
      <c r="C91" s="268"/>
      <c r="D91" s="268"/>
      <c r="E91" s="254"/>
      <c r="F91" s="254">
        <f>(F90+G90)*100/E90</f>
        <v>53.96195416239404</v>
      </c>
      <c r="G91" s="254"/>
      <c r="H91" s="254"/>
      <c r="K91" s="250"/>
    </row>
    <row r="92" spans="1:11" s="261" customFormat="1" ht="21.75" thickBot="1">
      <c r="A92" s="269"/>
      <c r="B92" s="269" t="s">
        <v>199</v>
      </c>
      <c r="C92" s="269"/>
      <c r="D92" s="269"/>
      <c r="E92" s="270"/>
      <c r="F92" s="270"/>
      <c r="G92" s="270"/>
      <c r="H92" s="270"/>
      <c r="K92" s="262"/>
    </row>
    <row r="93" spans="1:11" s="261" customFormat="1" ht="22.5" thickBot="1" thickTop="1">
      <c r="A93" s="271">
        <v>1</v>
      </c>
      <c r="B93" s="269" t="s">
        <v>95</v>
      </c>
      <c r="C93" s="269"/>
      <c r="D93" s="269"/>
      <c r="E93" s="270">
        <v>269000</v>
      </c>
      <c r="F93" s="270">
        <v>226000</v>
      </c>
      <c r="G93" s="270">
        <v>43000</v>
      </c>
      <c r="H93" s="272">
        <f>E93-F93-G93</f>
        <v>0</v>
      </c>
      <c r="K93" s="262"/>
    </row>
    <row r="94" spans="1:11" s="261" customFormat="1" ht="21">
      <c r="A94" s="269"/>
      <c r="B94" s="269" t="s">
        <v>96</v>
      </c>
      <c r="C94" s="269"/>
      <c r="D94" s="269"/>
      <c r="E94" s="270"/>
      <c r="F94" s="270"/>
      <c r="G94" s="270"/>
      <c r="H94" s="270"/>
      <c r="K94" s="262"/>
    </row>
    <row r="95" spans="1:11" s="261" customFormat="1" ht="21">
      <c r="A95" s="269"/>
      <c r="B95" s="269"/>
      <c r="C95" s="269"/>
      <c r="D95" s="269"/>
      <c r="E95" s="270"/>
      <c r="F95" s="270"/>
      <c r="G95" s="270"/>
      <c r="H95" s="270"/>
      <c r="K95" s="262"/>
    </row>
    <row r="96" spans="1:11" s="261" customFormat="1" ht="21.75" thickBot="1">
      <c r="A96" s="273"/>
      <c r="B96" s="273" t="s">
        <v>106</v>
      </c>
      <c r="C96" s="273"/>
      <c r="D96" s="273"/>
      <c r="E96" s="237"/>
      <c r="F96" s="237"/>
      <c r="G96" s="237"/>
      <c r="H96" s="237"/>
      <c r="K96" s="262"/>
    </row>
    <row r="97" spans="1:11" s="261" customFormat="1" ht="22.5" thickBot="1" thickTop="1">
      <c r="A97" s="273"/>
      <c r="B97" s="273" t="s">
        <v>107</v>
      </c>
      <c r="C97" s="273"/>
      <c r="D97" s="273"/>
      <c r="E97" s="237">
        <v>2495000</v>
      </c>
      <c r="F97" s="237">
        <v>2495000</v>
      </c>
      <c r="G97" s="237">
        <v>0</v>
      </c>
      <c r="H97" s="226">
        <f>E97-F97-G97</f>
        <v>0</v>
      </c>
      <c r="K97" s="262"/>
    </row>
    <row r="98" spans="1:11" s="261" customFormat="1" ht="22.5" thickBot="1" thickTop="1">
      <c r="A98" s="273"/>
      <c r="B98" s="273" t="s">
        <v>108</v>
      </c>
      <c r="C98" s="273"/>
      <c r="D98" s="273"/>
      <c r="E98" s="237">
        <v>1000000</v>
      </c>
      <c r="F98" s="237">
        <v>1000000</v>
      </c>
      <c r="G98" s="237">
        <v>0</v>
      </c>
      <c r="H98" s="226">
        <f>E98-F98-G98</f>
        <v>0</v>
      </c>
      <c r="K98" s="262"/>
    </row>
    <row r="99" spans="1:11" s="183" customFormat="1" ht="21">
      <c r="A99" s="186"/>
      <c r="B99" s="186"/>
      <c r="C99" s="186"/>
      <c r="D99" s="186"/>
      <c r="E99" s="185"/>
      <c r="F99" s="185"/>
      <c r="G99" s="185"/>
      <c r="H99" s="187"/>
      <c r="K99" s="192"/>
    </row>
    <row r="101" spans="2:11" s="183" customFormat="1" ht="21.75" thickBot="1">
      <c r="B101" s="292" t="s">
        <v>228</v>
      </c>
      <c r="E101" s="184"/>
      <c r="F101" s="184"/>
      <c r="G101" s="184"/>
      <c r="H101" s="184"/>
      <c r="K101" s="192"/>
    </row>
    <row r="102" spans="1:11" s="227" customFormat="1" ht="22.5" thickBot="1" thickTop="1">
      <c r="A102" s="222">
        <v>1</v>
      </c>
      <c r="B102" s="223" t="s">
        <v>16</v>
      </c>
      <c r="C102" s="224"/>
      <c r="D102" s="224"/>
      <c r="E102" s="225">
        <v>9210900</v>
      </c>
      <c r="F102" s="225">
        <v>6698645.16</v>
      </c>
      <c r="G102" s="282"/>
      <c r="H102" s="226">
        <f>E102-F102-G102</f>
        <v>2512254.84</v>
      </c>
      <c r="K102" s="228"/>
    </row>
    <row r="103" spans="1:11" s="227" customFormat="1" ht="22.5" thickBot="1" thickTop="1">
      <c r="A103" s="229">
        <v>2</v>
      </c>
      <c r="B103" s="230" t="s">
        <v>104</v>
      </c>
      <c r="C103" s="231"/>
      <c r="D103" s="231"/>
      <c r="E103" s="232">
        <f>143364+14604</f>
        <v>157968</v>
      </c>
      <c r="F103" s="232">
        <v>113956</v>
      </c>
      <c r="G103" s="232"/>
      <c r="H103" s="226">
        <f aca="true" t="shared" si="4" ref="H103:H112">E103-F103-G103</f>
        <v>44012</v>
      </c>
      <c r="K103" s="228"/>
    </row>
    <row r="104" spans="1:11" s="227" customFormat="1" ht="22.5" thickBot="1" thickTop="1">
      <c r="A104" s="222">
        <v>3</v>
      </c>
      <c r="B104" s="233" t="s">
        <v>32</v>
      </c>
      <c r="C104" s="234"/>
      <c r="D104" s="234"/>
      <c r="E104" s="235">
        <v>5000</v>
      </c>
      <c r="F104" s="235">
        <v>5000</v>
      </c>
      <c r="G104" s="283"/>
      <c r="H104" s="226">
        <f t="shared" si="4"/>
        <v>0</v>
      </c>
      <c r="K104" s="228"/>
    </row>
    <row r="105" spans="1:11" s="227" customFormat="1" ht="22.5" thickBot="1" thickTop="1">
      <c r="A105" s="229">
        <v>4</v>
      </c>
      <c r="B105" s="233" t="s">
        <v>34</v>
      </c>
      <c r="C105" s="236"/>
      <c r="D105" s="236"/>
      <c r="E105" s="237">
        <v>1792433</v>
      </c>
      <c r="F105" s="237">
        <v>1792433</v>
      </c>
      <c r="G105" s="237"/>
      <c r="H105" s="226">
        <f t="shared" si="4"/>
        <v>0</v>
      </c>
      <c r="I105" s="238"/>
      <c r="J105" s="238"/>
      <c r="K105" s="239"/>
    </row>
    <row r="106" spans="1:11" s="227" customFormat="1" ht="22.5" thickBot="1" thickTop="1">
      <c r="A106" s="222">
        <v>5</v>
      </c>
      <c r="B106" s="233" t="s">
        <v>11</v>
      </c>
      <c r="C106" s="234"/>
      <c r="D106" s="234"/>
      <c r="E106" s="235">
        <v>57000</v>
      </c>
      <c r="F106" s="235">
        <v>30000</v>
      </c>
      <c r="G106" s="283">
        <v>21000</v>
      </c>
      <c r="H106" s="226">
        <f t="shared" si="4"/>
        <v>6000</v>
      </c>
      <c r="I106" s="238">
        <f>SUM(E102:E106)</f>
        <v>11223301</v>
      </c>
      <c r="J106" s="238">
        <f>SUM(F102:F106)</f>
        <v>8640034.16</v>
      </c>
      <c r="K106" s="238">
        <f>SUM(H102:H106)</f>
        <v>2562266.84</v>
      </c>
    </row>
    <row r="107" spans="1:11" s="227" customFormat="1" ht="22.5" thickBot="1" thickTop="1">
      <c r="A107" s="240">
        <v>6</v>
      </c>
      <c r="B107" s="234" t="s">
        <v>33</v>
      </c>
      <c r="C107" s="236"/>
      <c r="D107" s="236"/>
      <c r="E107" s="241">
        <v>454700</v>
      </c>
      <c r="F107" s="242">
        <v>440250</v>
      </c>
      <c r="G107" s="284"/>
      <c r="H107" s="226">
        <f t="shared" si="4"/>
        <v>14450</v>
      </c>
      <c r="I107" s="243"/>
      <c r="J107" s="243"/>
      <c r="K107" s="244"/>
    </row>
    <row r="108" spans="1:11" s="227" customFormat="1" ht="22.5" thickBot="1" thickTop="1">
      <c r="A108" s="240">
        <v>7</v>
      </c>
      <c r="B108" s="234" t="s">
        <v>59</v>
      </c>
      <c r="C108" s="236"/>
      <c r="D108" s="236"/>
      <c r="E108" s="241"/>
      <c r="F108" s="242"/>
      <c r="G108" s="284"/>
      <c r="H108" s="226">
        <f t="shared" si="4"/>
        <v>0</v>
      </c>
      <c r="I108" s="243"/>
      <c r="J108" s="243"/>
      <c r="K108" s="243"/>
    </row>
    <row r="109" spans="1:11" s="249" customFormat="1" ht="22.5" thickBot="1" thickTop="1">
      <c r="A109" s="245">
        <v>8</v>
      </c>
      <c r="B109" s="246" t="s">
        <v>182</v>
      </c>
      <c r="C109" s="247"/>
      <c r="D109" s="247"/>
      <c r="E109" s="248">
        <v>1876900</v>
      </c>
      <c r="F109" s="248">
        <v>0</v>
      </c>
      <c r="G109" s="285"/>
      <c r="H109" s="226">
        <f t="shared" si="4"/>
        <v>1876900</v>
      </c>
      <c r="K109" s="250"/>
    </row>
    <row r="110" spans="1:11" s="249" customFormat="1" ht="22.5" thickBot="1" thickTop="1">
      <c r="A110" s="251">
        <v>9</v>
      </c>
      <c r="B110" s="247" t="s">
        <v>65</v>
      </c>
      <c r="C110" s="252"/>
      <c r="D110" s="252"/>
      <c r="E110" s="253"/>
      <c r="F110" s="254"/>
      <c r="G110" s="286"/>
      <c r="H110" s="226">
        <f t="shared" si="4"/>
        <v>0</v>
      </c>
      <c r="I110" s="255"/>
      <c r="J110" s="255"/>
      <c r="K110" s="256"/>
    </row>
    <row r="111" spans="1:11" s="249" customFormat="1" ht="22.5" thickBot="1" thickTop="1">
      <c r="A111" s="257">
        <v>10</v>
      </c>
      <c r="B111" s="247" t="s">
        <v>154</v>
      </c>
      <c r="C111" s="247"/>
      <c r="D111" s="247"/>
      <c r="E111" s="254">
        <v>53100</v>
      </c>
      <c r="F111" s="254">
        <v>1000</v>
      </c>
      <c r="G111" s="286"/>
      <c r="H111" s="226">
        <f t="shared" si="4"/>
        <v>52100</v>
      </c>
      <c r="K111" s="250"/>
    </row>
    <row r="112" spans="1:11" s="261" customFormat="1" ht="22.5" thickBot="1" thickTop="1">
      <c r="A112" s="258">
        <v>11</v>
      </c>
      <c r="B112" s="288" t="s">
        <v>101</v>
      </c>
      <c r="C112" s="259"/>
      <c r="D112" s="259"/>
      <c r="E112" s="260">
        <v>55000</v>
      </c>
      <c r="F112" s="260">
        <v>55000</v>
      </c>
      <c r="G112" s="260"/>
      <c r="H112" s="291">
        <f t="shared" si="4"/>
        <v>0</v>
      </c>
      <c r="K112" s="262"/>
    </row>
    <row r="113" spans="1:11" s="261" customFormat="1" ht="22.5" thickBot="1" thickTop="1">
      <c r="A113" s="259"/>
      <c r="B113" s="259" t="s">
        <v>102</v>
      </c>
      <c r="C113" s="259"/>
      <c r="D113" s="259"/>
      <c r="E113" s="260"/>
      <c r="F113" s="260"/>
      <c r="G113" s="260"/>
      <c r="H113" s="291"/>
      <c r="K113" s="262"/>
    </row>
    <row r="114" spans="1:11" s="261" customFormat="1" ht="22.5" thickBot="1" thickTop="1">
      <c r="A114" s="259"/>
      <c r="B114" s="259" t="s">
        <v>103</v>
      </c>
      <c r="C114" s="259"/>
      <c r="D114" s="259"/>
      <c r="E114" s="260"/>
      <c r="F114" s="260"/>
      <c r="G114" s="260"/>
      <c r="H114" s="291"/>
      <c r="K114" s="262"/>
    </row>
    <row r="115" spans="1:15" s="249" customFormat="1" ht="22.5" thickBot="1" thickTop="1">
      <c r="A115" s="263">
        <v>12</v>
      </c>
      <c r="B115" s="264" t="s">
        <v>156</v>
      </c>
      <c r="C115" s="264"/>
      <c r="D115" s="264"/>
      <c r="E115" s="265">
        <v>8350</v>
      </c>
      <c r="F115" s="265">
        <v>0</v>
      </c>
      <c r="G115" s="287"/>
      <c r="H115" s="291">
        <f>E115-F115-G115</f>
        <v>8350</v>
      </c>
      <c r="I115" s="266">
        <f>SUM(E112:E115)</f>
        <v>63350</v>
      </c>
      <c r="J115" s="238">
        <f>SUM(F111:F115)</f>
        <v>56000</v>
      </c>
      <c r="K115" s="238">
        <f>SUM(H112:H115)</f>
        <v>8350</v>
      </c>
      <c r="L115" s="266">
        <f>E102+E103+E104+E105++E106+E107+E109+E111+E115</f>
        <v>13616351</v>
      </c>
      <c r="M115" s="266">
        <f>F102+F103+F104+F105++F106+F107+F109+F111+F115</f>
        <v>9081284.16</v>
      </c>
      <c r="N115" s="266">
        <f>G102+G103+G104+G105++G106+G107+G109+G111+G115</f>
        <v>21000</v>
      </c>
      <c r="O115" s="266">
        <f>H102+H103+H104+H105++H106+H107+H109+H111+H115</f>
        <v>4514066.84</v>
      </c>
    </row>
    <row r="116" spans="1:11" s="249" customFormat="1" ht="22.5" thickBot="1" thickTop="1">
      <c r="A116" s="267"/>
      <c r="B116" s="268" t="s">
        <v>35</v>
      </c>
      <c r="C116" s="268"/>
      <c r="D116" s="268"/>
      <c r="E116" s="254">
        <f>SUM(E102:E115)</f>
        <v>13671351</v>
      </c>
      <c r="F116" s="254">
        <f>SUM(F102:F115)</f>
        <v>9136284.16</v>
      </c>
      <c r="G116" s="254">
        <f>SUM(G102:G115)</f>
        <v>21000</v>
      </c>
      <c r="H116" s="226">
        <f>E116-F116-G116</f>
        <v>4514066.84</v>
      </c>
      <c r="K116" s="250"/>
    </row>
    <row r="117" spans="1:11" s="249" customFormat="1" ht="21.75" thickBot="1">
      <c r="A117" s="267"/>
      <c r="B117" s="268" t="s">
        <v>36</v>
      </c>
      <c r="C117" s="268"/>
      <c r="D117" s="268"/>
      <c r="E117" s="254"/>
      <c r="F117" s="254">
        <f>F116*100/E116</f>
        <v>66.82795401858968</v>
      </c>
      <c r="G117" s="254"/>
      <c r="H117" s="254"/>
      <c r="K117" s="250"/>
    </row>
    <row r="118" spans="1:11" s="261" customFormat="1" ht="21.75" thickBot="1">
      <c r="A118" s="269"/>
      <c r="B118" s="269" t="s">
        <v>227</v>
      </c>
      <c r="C118" s="269"/>
      <c r="D118" s="269"/>
      <c r="E118" s="270"/>
      <c r="F118" s="270"/>
      <c r="G118" s="270"/>
      <c r="H118" s="270"/>
      <c r="K118" s="262"/>
    </row>
    <row r="119" spans="1:11" s="261" customFormat="1" ht="22.5" thickBot="1" thickTop="1">
      <c r="A119" s="271">
        <v>1</v>
      </c>
      <c r="B119" s="293" t="s">
        <v>95</v>
      </c>
      <c r="C119" s="269"/>
      <c r="D119" s="269"/>
      <c r="E119" s="270">
        <f>269000+471500</f>
        <v>740500</v>
      </c>
      <c r="F119" s="270">
        <v>226000</v>
      </c>
      <c r="G119" s="270">
        <v>43000</v>
      </c>
      <c r="H119" s="272">
        <f>E119-F119-G119</f>
        <v>471500</v>
      </c>
      <c r="K119" s="262"/>
    </row>
    <row r="120" spans="1:11" s="261" customFormat="1" ht="21">
      <c r="A120" s="269"/>
      <c r="B120" s="269" t="s">
        <v>96</v>
      </c>
      <c r="C120" s="269"/>
      <c r="D120" s="269"/>
      <c r="E120" s="270"/>
      <c r="F120" s="270"/>
      <c r="G120" s="270"/>
      <c r="H120" s="270"/>
      <c r="K120" s="262"/>
    </row>
    <row r="121" spans="1:11" s="261" customFormat="1" ht="21">
      <c r="A121" s="269"/>
      <c r="B121" s="269"/>
      <c r="C121" s="269"/>
      <c r="D121" s="269"/>
      <c r="E121" s="270"/>
      <c r="F121" s="270"/>
      <c r="G121" s="270"/>
      <c r="H121" s="270"/>
      <c r="K121" s="262"/>
    </row>
    <row r="122" spans="1:11" s="261" customFormat="1" ht="21">
      <c r="A122" s="269"/>
      <c r="B122" s="269"/>
      <c r="C122" s="269"/>
      <c r="D122" s="269"/>
      <c r="E122" s="270"/>
      <c r="F122" s="270"/>
      <c r="G122" s="270"/>
      <c r="H122" s="270"/>
      <c r="K122" s="262"/>
    </row>
    <row r="123" spans="1:11" s="261" customFormat="1" ht="21">
      <c r="A123" s="269"/>
      <c r="B123" s="269"/>
      <c r="C123" s="269"/>
      <c r="D123" s="269"/>
      <c r="E123" s="270"/>
      <c r="F123" s="270"/>
      <c r="G123" s="270"/>
      <c r="H123" s="270"/>
      <c r="K123" s="262"/>
    </row>
    <row r="124" spans="1:11" s="261" customFormat="1" ht="21.75" thickBot="1">
      <c r="A124" s="273"/>
      <c r="B124" s="273" t="s">
        <v>106</v>
      </c>
      <c r="C124" s="273"/>
      <c r="D124" s="273"/>
      <c r="E124" s="237"/>
      <c r="F124" s="237"/>
      <c r="G124" s="237"/>
      <c r="H124" s="237"/>
      <c r="K124" s="262"/>
    </row>
    <row r="125" spans="1:11" s="261" customFormat="1" ht="22.5" thickBot="1" thickTop="1">
      <c r="A125" s="273"/>
      <c r="B125" s="273" t="s">
        <v>107</v>
      </c>
      <c r="C125" s="273"/>
      <c r="D125" s="273"/>
      <c r="E125" s="237">
        <v>2495000</v>
      </c>
      <c r="F125" s="237">
        <v>2495000</v>
      </c>
      <c r="G125" s="237">
        <v>0</v>
      </c>
      <c r="H125" s="226">
        <f>E125-F125-G125</f>
        <v>0</v>
      </c>
      <c r="K125" s="262"/>
    </row>
    <row r="126" spans="1:11" s="261" customFormat="1" ht="22.5" thickBot="1" thickTop="1">
      <c r="A126" s="273"/>
      <c r="B126" s="273" t="s">
        <v>108</v>
      </c>
      <c r="C126" s="273"/>
      <c r="D126" s="273"/>
      <c r="E126" s="237">
        <v>1000000</v>
      </c>
      <c r="F126" s="237">
        <v>1000000</v>
      </c>
      <c r="G126" s="237">
        <v>0</v>
      </c>
      <c r="H126" s="226">
        <f>E126-F126-G126</f>
        <v>0</v>
      </c>
      <c r="K126" s="262"/>
    </row>
    <row r="127" spans="1:11" s="183" customFormat="1" ht="21">
      <c r="A127" s="186"/>
      <c r="B127" s="186"/>
      <c r="C127" s="186"/>
      <c r="D127" s="186"/>
      <c r="E127" s="185"/>
      <c r="F127" s="185"/>
      <c r="G127" s="185"/>
      <c r="H127" s="187"/>
      <c r="K127" s="192"/>
    </row>
    <row r="129" spans="2:11" s="183" customFormat="1" ht="21.75" thickBot="1">
      <c r="B129" s="292" t="s">
        <v>245</v>
      </c>
      <c r="E129" s="184"/>
      <c r="F129" s="184"/>
      <c r="G129" s="184"/>
      <c r="H129" s="184"/>
      <c r="K129" s="192"/>
    </row>
    <row r="130" spans="1:11" s="227" customFormat="1" ht="22.5" thickBot="1" thickTop="1">
      <c r="A130" s="222">
        <v>1</v>
      </c>
      <c r="B130" s="223" t="s">
        <v>16</v>
      </c>
      <c r="C130" s="224"/>
      <c r="D130" s="224"/>
      <c r="E130" s="225">
        <v>9210900</v>
      </c>
      <c r="F130" s="225">
        <f>6698645.16+1670375+17500</f>
        <v>8386520.16</v>
      </c>
      <c r="G130" s="282"/>
      <c r="H130" s="226">
        <f>E130-F130-G130</f>
        <v>824379.8399999999</v>
      </c>
      <c r="K130" s="228"/>
    </row>
    <row r="131" spans="1:11" s="227" customFormat="1" ht="22.5" thickBot="1" thickTop="1">
      <c r="A131" s="229">
        <v>2</v>
      </c>
      <c r="B131" s="230" t="s">
        <v>104</v>
      </c>
      <c r="C131" s="231"/>
      <c r="D131" s="231"/>
      <c r="E131" s="232">
        <f>143364+14604</f>
        <v>157968</v>
      </c>
      <c r="F131" s="232">
        <f>113956+24519</f>
        <v>138475</v>
      </c>
      <c r="G131" s="232"/>
      <c r="H131" s="226">
        <f aca="true" t="shared" si="5" ref="H131:H140">E131-F131-G131</f>
        <v>19493</v>
      </c>
      <c r="K131" s="228"/>
    </row>
    <row r="132" spans="1:11" s="227" customFormat="1" ht="22.5" thickBot="1" thickTop="1">
      <c r="A132" s="222">
        <v>3</v>
      </c>
      <c r="B132" s="233" t="s">
        <v>32</v>
      </c>
      <c r="C132" s="234"/>
      <c r="D132" s="234"/>
      <c r="E132" s="235">
        <v>5000</v>
      </c>
      <c r="F132" s="235">
        <v>5000</v>
      </c>
      <c r="G132" s="283"/>
      <c r="H132" s="226">
        <f t="shared" si="5"/>
        <v>0</v>
      </c>
      <c r="K132" s="228"/>
    </row>
    <row r="133" spans="1:11" s="227" customFormat="1" ht="22.5" thickBot="1" thickTop="1">
      <c r="A133" s="229">
        <v>4</v>
      </c>
      <c r="B133" s="233" t="s">
        <v>34</v>
      </c>
      <c r="C133" s="236"/>
      <c r="D133" s="236"/>
      <c r="E133" s="237">
        <f>1792433+847836</f>
        <v>2640269</v>
      </c>
      <c r="F133" s="237">
        <v>1792433</v>
      </c>
      <c r="G133" s="237"/>
      <c r="H133" s="226">
        <f t="shared" si="5"/>
        <v>847836</v>
      </c>
      <c r="I133" s="238"/>
      <c r="J133" s="238"/>
      <c r="K133" s="239"/>
    </row>
    <row r="134" spans="1:11" s="227" customFormat="1" ht="22.5" thickBot="1" thickTop="1">
      <c r="A134" s="222">
        <v>5</v>
      </c>
      <c r="B134" s="233" t="s">
        <v>11</v>
      </c>
      <c r="C134" s="234"/>
      <c r="D134" s="234"/>
      <c r="E134" s="235">
        <v>57000</v>
      </c>
      <c r="F134" s="235">
        <f>30000+6000</f>
        <v>36000</v>
      </c>
      <c r="G134" s="283">
        <v>21000</v>
      </c>
      <c r="H134" s="226">
        <f t="shared" si="5"/>
        <v>0</v>
      </c>
      <c r="I134" s="238">
        <f>SUM(E130:E134)</f>
        <v>12071137</v>
      </c>
      <c r="J134" s="238">
        <f>SUM(F130:F134)</f>
        <v>10358428.16</v>
      </c>
      <c r="K134" s="238">
        <f>SUM(H130:H134)</f>
        <v>1691708.8399999999</v>
      </c>
    </row>
    <row r="135" spans="1:11" s="227" customFormat="1" ht="22.5" thickBot="1" thickTop="1">
      <c r="A135" s="240">
        <v>6</v>
      </c>
      <c r="B135" s="234" t="s">
        <v>33</v>
      </c>
      <c r="C135" s="236"/>
      <c r="D135" s="236"/>
      <c r="E135" s="241">
        <v>454700</v>
      </c>
      <c r="F135" s="242">
        <f>440250+13200</f>
        <v>453450</v>
      </c>
      <c r="G135" s="284"/>
      <c r="H135" s="226">
        <f t="shared" si="5"/>
        <v>1250</v>
      </c>
      <c r="I135" s="243"/>
      <c r="J135" s="243"/>
      <c r="K135" s="244"/>
    </row>
    <row r="136" spans="1:11" s="227" customFormat="1" ht="22.5" thickBot="1" thickTop="1">
      <c r="A136" s="240">
        <v>7</v>
      </c>
      <c r="B136" s="234" t="s">
        <v>59</v>
      </c>
      <c r="C136" s="236"/>
      <c r="D136" s="236"/>
      <c r="E136" s="241"/>
      <c r="F136" s="242"/>
      <c r="G136" s="284"/>
      <c r="H136" s="226">
        <f t="shared" si="5"/>
        <v>0</v>
      </c>
      <c r="I136" s="243"/>
      <c r="J136" s="243"/>
      <c r="K136" s="243"/>
    </row>
    <row r="137" spans="1:11" s="249" customFormat="1" ht="22.5" thickBot="1" thickTop="1">
      <c r="A137" s="245">
        <v>8</v>
      </c>
      <c r="B137" s="246" t="s">
        <v>182</v>
      </c>
      <c r="C137" s="247"/>
      <c r="D137" s="247"/>
      <c r="E137" s="248">
        <v>1876900</v>
      </c>
      <c r="F137" s="248">
        <v>0</v>
      </c>
      <c r="G137" s="285"/>
      <c r="H137" s="226">
        <f t="shared" si="5"/>
        <v>1876900</v>
      </c>
      <c r="K137" s="250"/>
    </row>
    <row r="138" spans="1:11" s="249" customFormat="1" ht="22.5" thickBot="1" thickTop="1">
      <c r="A138" s="251">
        <v>9</v>
      </c>
      <c r="B138" s="247" t="s">
        <v>65</v>
      </c>
      <c r="C138" s="252"/>
      <c r="D138" s="252"/>
      <c r="E138" s="253"/>
      <c r="F138" s="254"/>
      <c r="G138" s="286"/>
      <c r="H138" s="226">
        <f t="shared" si="5"/>
        <v>0</v>
      </c>
      <c r="I138" s="255"/>
      <c r="J138" s="255"/>
      <c r="K138" s="256"/>
    </row>
    <row r="139" spans="1:11" s="249" customFormat="1" ht="22.5" thickBot="1" thickTop="1">
      <c r="A139" s="257">
        <v>10</v>
      </c>
      <c r="B139" s="247" t="s">
        <v>154</v>
      </c>
      <c r="C139" s="247"/>
      <c r="D139" s="247"/>
      <c r="E139" s="254">
        <v>53100</v>
      </c>
      <c r="F139" s="254">
        <f>1000+12800+16770</f>
        <v>30570</v>
      </c>
      <c r="G139" s="286"/>
      <c r="H139" s="226">
        <f t="shared" si="5"/>
        <v>22530</v>
      </c>
      <c r="K139" s="250"/>
    </row>
    <row r="140" spans="1:11" s="261" customFormat="1" ht="22.5" thickBot="1" thickTop="1">
      <c r="A140" s="258">
        <v>11</v>
      </c>
      <c r="B140" s="288" t="s">
        <v>101</v>
      </c>
      <c r="C140" s="259"/>
      <c r="D140" s="259"/>
      <c r="E140" s="260">
        <v>55000</v>
      </c>
      <c r="F140" s="260">
        <v>55000</v>
      </c>
      <c r="G140" s="260"/>
      <c r="H140" s="291">
        <f t="shared" si="5"/>
        <v>0</v>
      </c>
      <c r="K140" s="262"/>
    </row>
    <row r="141" spans="1:11" s="261" customFormat="1" ht="22.5" thickBot="1" thickTop="1">
      <c r="A141" s="259"/>
      <c r="B141" s="259" t="s">
        <v>102</v>
      </c>
      <c r="C141" s="259"/>
      <c r="D141" s="259"/>
      <c r="E141" s="260"/>
      <c r="F141" s="260"/>
      <c r="G141" s="260"/>
      <c r="H141" s="291"/>
      <c r="K141" s="262"/>
    </row>
    <row r="142" spans="1:11" s="261" customFormat="1" ht="22.5" thickBot="1" thickTop="1">
      <c r="A142" s="259"/>
      <c r="B142" s="259" t="s">
        <v>103</v>
      </c>
      <c r="C142" s="259"/>
      <c r="D142" s="259"/>
      <c r="E142" s="260"/>
      <c r="F142" s="260"/>
      <c r="G142" s="260"/>
      <c r="H142" s="291"/>
      <c r="K142" s="262"/>
    </row>
    <row r="143" spans="1:15" s="249" customFormat="1" ht="22.5" thickBot="1" thickTop="1">
      <c r="A143" s="263">
        <v>12</v>
      </c>
      <c r="B143" s="264" t="s">
        <v>156</v>
      </c>
      <c r="C143" s="264"/>
      <c r="D143" s="264"/>
      <c r="E143" s="265">
        <v>8350</v>
      </c>
      <c r="F143" s="265">
        <v>0</v>
      </c>
      <c r="G143" s="287"/>
      <c r="H143" s="291">
        <f>E143-F143-G143</f>
        <v>8350</v>
      </c>
      <c r="I143" s="266">
        <f>SUM(E140:E143)</f>
        <v>63350</v>
      </c>
      <c r="J143" s="238">
        <f>SUM(F139:F143)</f>
        <v>85570</v>
      </c>
      <c r="K143" s="238">
        <f>SUM(H140:H143)</f>
        <v>8350</v>
      </c>
      <c r="L143" s="266">
        <f>E130+E131+E132+E133++E134+E135+E137+E139+E143</f>
        <v>14464187</v>
      </c>
      <c r="M143" s="266">
        <f>F130+F131+F132+F133++F134+F135+F137+F139+F143</f>
        <v>10842448.16</v>
      </c>
      <c r="N143" s="266">
        <f>G130+G131+G132+G133++G134+G135+G137+G139+G143</f>
        <v>21000</v>
      </c>
      <c r="O143" s="266">
        <f>H130+H131+H132+H133++H134+H135+H137+H139+H143</f>
        <v>3600738.84</v>
      </c>
    </row>
    <row r="144" spans="1:11" s="249" customFormat="1" ht="22.5" thickBot="1" thickTop="1">
      <c r="A144" s="267"/>
      <c r="B144" s="268" t="s">
        <v>35</v>
      </c>
      <c r="C144" s="268"/>
      <c r="D144" s="268"/>
      <c r="E144" s="254">
        <f>SUM(E130:E143)</f>
        <v>14519187</v>
      </c>
      <c r="F144" s="254">
        <f>SUM(F130:F143)</f>
        <v>10897448.16</v>
      </c>
      <c r="G144" s="254">
        <f>SUM(G130:G143)</f>
        <v>21000</v>
      </c>
      <c r="H144" s="226">
        <f>E144-F144-G144</f>
        <v>3600738.84</v>
      </c>
      <c r="I144" s="249" t="s">
        <v>229</v>
      </c>
      <c r="K144" s="250"/>
    </row>
    <row r="145" spans="1:11" s="249" customFormat="1" ht="21.75" thickBot="1">
      <c r="A145" s="267"/>
      <c r="B145" s="268" t="s">
        <v>36</v>
      </c>
      <c r="C145" s="268"/>
      <c r="D145" s="268"/>
      <c r="E145" s="254"/>
      <c r="F145" s="254">
        <f>F144*100/E144</f>
        <v>75.05549835538312</v>
      </c>
      <c r="G145" s="254"/>
      <c r="H145" s="254"/>
      <c r="K145" s="250"/>
    </row>
    <row r="146" spans="1:11" s="261" customFormat="1" ht="21.75" thickBot="1">
      <c r="A146" s="269"/>
      <c r="B146" s="269" t="s">
        <v>231</v>
      </c>
      <c r="C146" s="269"/>
      <c r="D146" s="269"/>
      <c r="E146" s="270"/>
      <c r="F146" s="270"/>
      <c r="G146" s="270"/>
      <c r="H146" s="270"/>
      <c r="K146" s="262"/>
    </row>
    <row r="147" spans="1:11" s="261" customFormat="1" ht="22.5" thickBot="1" thickTop="1">
      <c r="A147" s="271">
        <v>1</v>
      </c>
      <c r="B147" s="293" t="s">
        <v>95</v>
      </c>
      <c r="C147" s="269"/>
      <c r="D147" s="269"/>
      <c r="E147" s="270">
        <f>269000+471500+177780.49</f>
        <v>918280.49</v>
      </c>
      <c r="F147" s="270">
        <f>226000+471500+177780.49</f>
        <v>875280.49</v>
      </c>
      <c r="G147" s="270">
        <v>43000</v>
      </c>
      <c r="H147" s="272">
        <f>E147-F147-G147</f>
        <v>0</v>
      </c>
      <c r="K147" s="262"/>
    </row>
    <row r="148" spans="1:11" s="261" customFormat="1" ht="21">
      <c r="A148" s="269"/>
      <c r="B148" s="298" t="s">
        <v>230</v>
      </c>
      <c r="C148" s="269"/>
      <c r="D148" s="269"/>
      <c r="E148" s="270"/>
      <c r="F148" s="270"/>
      <c r="G148" s="270"/>
      <c r="H148" s="270"/>
      <c r="K148" s="262"/>
    </row>
    <row r="149" spans="1:11" s="261" customFormat="1" ht="21.75" thickBot="1">
      <c r="A149" s="269"/>
      <c r="B149" s="269"/>
      <c r="C149" s="269"/>
      <c r="D149" s="269"/>
      <c r="E149" s="270"/>
      <c r="F149" s="270"/>
      <c r="G149" s="270"/>
      <c r="H149" s="270"/>
      <c r="K149" s="262"/>
    </row>
    <row r="150" spans="1:11" s="261" customFormat="1" ht="22.5" thickBot="1" thickTop="1">
      <c r="A150" s="271">
        <v>2</v>
      </c>
      <c r="B150" s="269" t="s">
        <v>232</v>
      </c>
      <c r="C150" s="269"/>
      <c r="D150" s="269"/>
      <c r="E150" s="270">
        <v>27320</v>
      </c>
      <c r="F150" s="270">
        <v>27320</v>
      </c>
      <c r="G150" s="270">
        <v>0</v>
      </c>
      <c r="H150" s="272">
        <f>E150-F150-G150</f>
        <v>0</v>
      </c>
      <c r="K150" s="262"/>
    </row>
    <row r="151" spans="1:11" s="261" customFormat="1" ht="21">
      <c r="A151" s="269"/>
      <c r="B151" s="269" t="s">
        <v>233</v>
      </c>
      <c r="C151" s="269"/>
      <c r="D151" s="269"/>
      <c r="E151" s="270"/>
      <c r="F151" s="270"/>
      <c r="G151" s="270"/>
      <c r="H151" s="270"/>
      <c r="K151" s="262"/>
    </row>
    <row r="152" spans="1:11" s="261" customFormat="1" ht="21">
      <c r="A152" s="269"/>
      <c r="B152" s="269"/>
      <c r="C152" s="269"/>
      <c r="D152" s="269"/>
      <c r="E152" s="270"/>
      <c r="F152" s="270"/>
      <c r="G152" s="270"/>
      <c r="H152" s="270"/>
      <c r="K152" s="262"/>
    </row>
    <row r="153" spans="1:11" s="261" customFormat="1" ht="21.75" thickBot="1">
      <c r="A153" s="273"/>
      <c r="B153" s="273" t="s">
        <v>106</v>
      </c>
      <c r="C153" s="273"/>
      <c r="D153" s="273"/>
      <c r="E153" s="237"/>
      <c r="F153" s="237"/>
      <c r="G153" s="237"/>
      <c r="H153" s="237"/>
      <c r="K153" s="262"/>
    </row>
    <row r="154" spans="1:11" s="261" customFormat="1" ht="22.5" thickBot="1" thickTop="1">
      <c r="A154" s="273"/>
      <c r="B154" s="273" t="s">
        <v>107</v>
      </c>
      <c r="C154" s="273"/>
      <c r="D154" s="273"/>
      <c r="E154" s="237">
        <v>2495000</v>
      </c>
      <c r="F154" s="237">
        <v>2495000</v>
      </c>
      <c r="G154" s="237">
        <v>0</v>
      </c>
      <c r="H154" s="226">
        <f>E154-F154-G154</f>
        <v>0</v>
      </c>
      <c r="K154" s="262"/>
    </row>
    <row r="155" spans="1:11" s="261" customFormat="1" ht="22.5" thickBot="1" thickTop="1">
      <c r="A155" s="273"/>
      <c r="B155" s="273" t="s">
        <v>108</v>
      </c>
      <c r="C155" s="273"/>
      <c r="D155" s="273"/>
      <c r="E155" s="237">
        <v>1000000</v>
      </c>
      <c r="F155" s="237">
        <v>1000000</v>
      </c>
      <c r="G155" s="237">
        <v>0</v>
      </c>
      <c r="H155" s="226">
        <f>E155-F155-G155</f>
        <v>0</v>
      </c>
      <c r="K155" s="262"/>
    </row>
    <row r="156" spans="1:11" s="183" customFormat="1" ht="21">
      <c r="A156" s="186"/>
      <c r="B156" s="186"/>
      <c r="C156" s="186"/>
      <c r="D156" s="186"/>
      <c r="E156" s="185"/>
      <c r="F156" s="185"/>
      <c r="G156" s="185"/>
      <c r="H156" s="187"/>
      <c r="K156" s="192"/>
    </row>
    <row r="158" spans="1:8" ht="21.75" thickBot="1">
      <c r="A158" s="159"/>
      <c r="B158" s="159" t="s">
        <v>234</v>
      </c>
      <c r="C158" s="159"/>
      <c r="D158" s="159"/>
      <c r="E158" s="157"/>
      <c r="F158" s="157"/>
      <c r="G158" s="157"/>
      <c r="H158" s="157"/>
    </row>
    <row r="159" spans="1:8" ht="22.5" thickBot="1" thickTop="1">
      <c r="A159" s="159"/>
      <c r="B159" s="159" t="s">
        <v>235</v>
      </c>
      <c r="C159" s="159"/>
      <c r="D159" s="159"/>
      <c r="E159" s="157">
        <f>999000+1598000+3500000</f>
        <v>6097000</v>
      </c>
      <c r="F159" s="157">
        <v>0</v>
      </c>
      <c r="G159" s="157">
        <v>0</v>
      </c>
      <c r="H159" s="299">
        <f>E159-F159-G159</f>
        <v>6097000</v>
      </c>
    </row>
    <row r="160" spans="1:8" ht="21">
      <c r="A160" s="159"/>
      <c r="B160" s="159"/>
      <c r="C160" s="159"/>
      <c r="D160" s="159"/>
      <c r="E160" s="157"/>
      <c r="F160" s="157"/>
      <c r="G160" s="157"/>
      <c r="H160" s="157"/>
    </row>
    <row r="161" spans="1:8" ht="21">
      <c r="A161" s="159"/>
      <c r="B161" s="159"/>
      <c r="C161" s="159"/>
      <c r="D161" s="159"/>
      <c r="E161" s="157"/>
      <c r="F161" s="157"/>
      <c r="G161" s="157"/>
      <c r="H161" s="157"/>
    </row>
    <row r="163" spans="1:11" s="183" customFormat="1" ht="21.75" thickBot="1">
      <c r="A163" s="300"/>
      <c r="B163" s="301" t="s">
        <v>246</v>
      </c>
      <c r="C163" s="300"/>
      <c r="D163" s="300"/>
      <c r="E163" s="302"/>
      <c r="F163" s="302"/>
      <c r="G163" s="302"/>
      <c r="H163" s="302"/>
      <c r="K163" s="192"/>
    </row>
    <row r="164" spans="1:11" s="227" customFormat="1" ht="22.5" thickBot="1" thickTop="1">
      <c r="A164" s="303">
        <v>1</v>
      </c>
      <c r="B164" s="224" t="s">
        <v>16</v>
      </c>
      <c r="C164" s="224"/>
      <c r="D164" s="224"/>
      <c r="E164" s="304">
        <f>9210900+5645020</f>
        <v>14855920</v>
      </c>
      <c r="F164" s="304">
        <f>6698645.16+1670375+17500+1688112.9+3500</f>
        <v>10078133.06</v>
      </c>
      <c r="G164" s="305"/>
      <c r="H164" s="306">
        <f>E164-F164-G164</f>
        <v>4777786.9399999995</v>
      </c>
      <c r="K164" s="228"/>
    </row>
    <row r="165" spans="1:11" s="227" customFormat="1" ht="22.5" thickBot="1" thickTop="1">
      <c r="A165" s="240">
        <v>2</v>
      </c>
      <c r="B165" s="231" t="s">
        <v>104</v>
      </c>
      <c r="C165" s="231"/>
      <c r="D165" s="231"/>
      <c r="E165" s="307">
        <f>143364+14604</f>
        <v>157968</v>
      </c>
      <c r="F165" s="307">
        <f>113956+24519</f>
        <v>138475</v>
      </c>
      <c r="G165" s="307"/>
      <c r="H165" s="306">
        <f aca="true" t="shared" si="6" ref="H165:H174">E165-F165-G165</f>
        <v>19493</v>
      </c>
      <c r="K165" s="228"/>
    </row>
    <row r="166" spans="1:11" s="227" customFormat="1" ht="22.5" thickBot="1" thickTop="1">
      <c r="A166" s="303">
        <v>3</v>
      </c>
      <c r="B166" s="234" t="s">
        <v>32</v>
      </c>
      <c r="C166" s="234"/>
      <c r="D166" s="234"/>
      <c r="E166" s="308">
        <v>5000</v>
      </c>
      <c r="F166" s="308">
        <v>5000</v>
      </c>
      <c r="G166" s="309"/>
      <c r="H166" s="306">
        <f t="shared" si="6"/>
        <v>0</v>
      </c>
      <c r="K166" s="228"/>
    </row>
    <row r="167" spans="1:11" s="227" customFormat="1" ht="22.5" thickBot="1" thickTop="1">
      <c r="A167" s="240">
        <v>4</v>
      </c>
      <c r="B167" s="234" t="s">
        <v>34</v>
      </c>
      <c r="C167" s="236"/>
      <c r="D167" s="236"/>
      <c r="E167" s="310">
        <f>1792433+847836</f>
        <v>2640269</v>
      </c>
      <c r="F167" s="310">
        <v>1792433</v>
      </c>
      <c r="G167" s="310"/>
      <c r="H167" s="306">
        <f t="shared" si="6"/>
        <v>847836</v>
      </c>
      <c r="I167" s="238"/>
      <c r="J167" s="238"/>
      <c r="K167" s="239"/>
    </row>
    <row r="168" spans="1:11" s="227" customFormat="1" ht="22.5" thickBot="1" thickTop="1">
      <c r="A168" s="303">
        <v>5</v>
      </c>
      <c r="B168" s="234" t="s">
        <v>11</v>
      </c>
      <c r="C168" s="234"/>
      <c r="D168" s="234"/>
      <c r="E168" s="308">
        <v>57000</v>
      </c>
      <c r="F168" s="308">
        <f>30000+6000</f>
        <v>36000</v>
      </c>
      <c r="G168" s="309">
        <v>21000</v>
      </c>
      <c r="H168" s="306">
        <f t="shared" si="6"/>
        <v>0</v>
      </c>
      <c r="I168" s="238">
        <f>SUM(E164:E168)</f>
        <v>17716157</v>
      </c>
      <c r="J168" s="238">
        <f>SUM(F164:F168)</f>
        <v>12050041.06</v>
      </c>
      <c r="K168" s="238">
        <f>SUM(H164:H168)</f>
        <v>5645115.9399999995</v>
      </c>
    </row>
    <row r="169" spans="1:11" s="227" customFormat="1" ht="22.5" thickBot="1" thickTop="1">
      <c r="A169" s="240">
        <v>6</v>
      </c>
      <c r="B169" s="234" t="s">
        <v>33</v>
      </c>
      <c r="C169" s="236"/>
      <c r="D169" s="236"/>
      <c r="E169" s="241">
        <v>454700</v>
      </c>
      <c r="F169" s="242">
        <f>440250+13200</f>
        <v>453450</v>
      </c>
      <c r="G169" s="284"/>
      <c r="H169" s="306">
        <f t="shared" si="6"/>
        <v>1250</v>
      </c>
      <c r="I169" s="243"/>
      <c r="J169" s="243"/>
      <c r="K169" s="244"/>
    </row>
    <row r="170" spans="1:11" s="227" customFormat="1" ht="22.5" thickBot="1" thickTop="1">
      <c r="A170" s="240">
        <v>7</v>
      </c>
      <c r="B170" s="234" t="s">
        <v>59</v>
      </c>
      <c r="C170" s="236"/>
      <c r="D170" s="236"/>
      <c r="E170" s="241"/>
      <c r="F170" s="242"/>
      <c r="G170" s="284"/>
      <c r="H170" s="306">
        <f t="shared" si="6"/>
        <v>0</v>
      </c>
      <c r="I170" s="243"/>
      <c r="J170" s="243"/>
      <c r="K170" s="243"/>
    </row>
    <row r="171" spans="1:11" s="249" customFormat="1" ht="22.5" thickBot="1" thickTop="1">
      <c r="A171" s="303">
        <v>8</v>
      </c>
      <c r="B171" s="234" t="s">
        <v>182</v>
      </c>
      <c r="C171" s="234"/>
      <c r="D171" s="234"/>
      <c r="E171" s="319">
        <v>1876900</v>
      </c>
      <c r="F171" s="242">
        <v>0</v>
      </c>
      <c r="G171" s="284"/>
      <c r="H171" s="306">
        <f t="shared" si="6"/>
        <v>1876900</v>
      </c>
      <c r="K171" s="250"/>
    </row>
    <row r="172" spans="1:11" s="249" customFormat="1" ht="22.5" thickBot="1" thickTop="1">
      <c r="A172" s="303">
        <v>9</v>
      </c>
      <c r="B172" s="234" t="s">
        <v>65</v>
      </c>
      <c r="C172" s="236"/>
      <c r="D172" s="236"/>
      <c r="E172" s="311"/>
      <c r="F172" s="242"/>
      <c r="G172" s="284"/>
      <c r="H172" s="306">
        <f t="shared" si="6"/>
        <v>0</v>
      </c>
      <c r="I172" s="255"/>
      <c r="J172" s="255"/>
      <c r="K172" s="256"/>
    </row>
    <row r="173" spans="1:11" s="249" customFormat="1" ht="22.5" thickBot="1" thickTop="1">
      <c r="A173" s="312">
        <v>10</v>
      </c>
      <c r="B173" s="234" t="s">
        <v>154</v>
      </c>
      <c r="C173" s="234"/>
      <c r="D173" s="234"/>
      <c r="E173" s="242">
        <v>53100</v>
      </c>
      <c r="F173" s="242">
        <f>1000+12800+16770+10800+4980+930+4935</f>
        <v>52215</v>
      </c>
      <c r="G173" s="284"/>
      <c r="H173" s="306">
        <f t="shared" si="6"/>
        <v>885</v>
      </c>
      <c r="K173" s="250"/>
    </row>
    <row r="174" spans="1:11" s="261" customFormat="1" ht="22.5" thickBot="1" thickTop="1">
      <c r="A174" s="313">
        <v>11</v>
      </c>
      <c r="B174" s="314" t="s">
        <v>101</v>
      </c>
      <c r="C174" s="227"/>
      <c r="D174" s="227"/>
      <c r="E174" s="310">
        <v>55000</v>
      </c>
      <c r="F174" s="310">
        <v>55000</v>
      </c>
      <c r="G174" s="310"/>
      <c r="H174" s="132">
        <f t="shared" si="6"/>
        <v>0</v>
      </c>
      <c r="K174" s="262"/>
    </row>
    <row r="175" spans="1:11" s="261" customFormat="1" ht="22.5" thickBot="1" thickTop="1">
      <c r="A175" s="227"/>
      <c r="B175" s="227" t="s">
        <v>102</v>
      </c>
      <c r="C175" s="227"/>
      <c r="D175" s="227"/>
      <c r="E175" s="310"/>
      <c r="F175" s="310"/>
      <c r="G175" s="310"/>
      <c r="H175" s="132"/>
      <c r="K175" s="262"/>
    </row>
    <row r="176" spans="1:11" s="261" customFormat="1" ht="22.5" thickBot="1" thickTop="1">
      <c r="A176" s="227"/>
      <c r="B176" s="227" t="s">
        <v>103</v>
      </c>
      <c r="C176" s="227"/>
      <c r="D176" s="227"/>
      <c r="E176" s="310"/>
      <c r="F176" s="310"/>
      <c r="G176" s="310"/>
      <c r="H176" s="132"/>
      <c r="K176" s="262"/>
    </row>
    <row r="177" spans="1:15" s="249" customFormat="1" ht="22.5" thickBot="1" thickTop="1">
      <c r="A177" s="312">
        <v>12</v>
      </c>
      <c r="B177" s="234" t="s">
        <v>156</v>
      </c>
      <c r="C177" s="234"/>
      <c r="D177" s="234"/>
      <c r="E177" s="319">
        <v>8350</v>
      </c>
      <c r="F177" s="242">
        <v>1900</v>
      </c>
      <c r="G177" s="284"/>
      <c r="H177" s="132">
        <f>E177-F177-G177</f>
        <v>6450</v>
      </c>
      <c r="I177" s="266">
        <f>SUM(E174:E177)</f>
        <v>63350</v>
      </c>
      <c r="J177" s="238">
        <f>SUM(F173:F177)</f>
        <v>109115</v>
      </c>
      <c r="K177" s="238">
        <f>SUM(H174:H177)</f>
        <v>6450</v>
      </c>
      <c r="L177" s="266">
        <f>E164+E165+E166+E167++E168+E169+E171+E173+E177</f>
        <v>20109207</v>
      </c>
      <c r="M177" s="266">
        <f>F164+F165+F166+F167++F168+F169+F171+F173+F177</f>
        <v>12557606.06</v>
      </c>
      <c r="N177" s="266">
        <f>G164+G165+G166+G167++G168+G169+G171+G173+G177</f>
        <v>21000</v>
      </c>
      <c r="O177" s="266">
        <f>H164+H165+H166+H167++H168+H169+H171+H173+H177</f>
        <v>7530600.9399999995</v>
      </c>
    </row>
    <row r="178" spans="1:11" s="249" customFormat="1" ht="22.5" thickBot="1" thickTop="1">
      <c r="A178" s="315"/>
      <c r="B178" s="316" t="s">
        <v>35</v>
      </c>
      <c r="C178" s="316"/>
      <c r="D178" s="316"/>
      <c r="E178" s="242">
        <f>SUM(E164:E177)</f>
        <v>20164207</v>
      </c>
      <c r="F178" s="242">
        <f>SUM(F164:F177)</f>
        <v>12612606.06</v>
      </c>
      <c r="G178" s="242">
        <f>SUM(G164:G177)</f>
        <v>21000</v>
      </c>
      <c r="H178" s="306">
        <f>E178-F178-G178</f>
        <v>7530600.9399999995</v>
      </c>
      <c r="I178" s="249" t="s">
        <v>229</v>
      </c>
      <c r="K178" s="250"/>
    </row>
    <row r="179" spans="1:11" s="249" customFormat="1" ht="21.75" thickBot="1">
      <c r="A179" s="315"/>
      <c r="B179" s="316" t="s">
        <v>36</v>
      </c>
      <c r="C179" s="316"/>
      <c r="D179" s="316"/>
      <c r="E179" s="242"/>
      <c r="F179" s="242"/>
      <c r="G179" s="242">
        <f>(F178+G178)*100/E178</f>
        <v>62.65362213351609</v>
      </c>
      <c r="H179" s="242"/>
      <c r="I179" s="266">
        <f>F178+G178</f>
        <v>12633606.06</v>
      </c>
      <c r="K179" s="250"/>
    </row>
    <row r="180" spans="1:11" s="261" customFormat="1" ht="21.75" thickBot="1">
      <c r="A180" s="227"/>
      <c r="B180" s="227" t="s">
        <v>283</v>
      </c>
      <c r="C180" s="227"/>
      <c r="D180" s="227"/>
      <c r="E180" s="310"/>
      <c r="F180" s="310"/>
      <c r="G180" s="310"/>
      <c r="H180" s="310"/>
      <c r="K180" s="262"/>
    </row>
    <row r="181" spans="1:11" s="261" customFormat="1" ht="22.5" thickBot="1" thickTop="1">
      <c r="A181" s="313">
        <v>1</v>
      </c>
      <c r="B181" s="317" t="s">
        <v>95</v>
      </c>
      <c r="C181" s="227"/>
      <c r="D181" s="227"/>
      <c r="E181" s="310">
        <f>269000+471500+177780.49</f>
        <v>918280.49</v>
      </c>
      <c r="F181" s="310">
        <f>226000+471500+177780.49</f>
        <v>875280.49</v>
      </c>
      <c r="G181" s="310">
        <v>43000</v>
      </c>
      <c r="H181" s="306">
        <f>E181-F181-G181</f>
        <v>0</v>
      </c>
      <c r="K181" s="262"/>
    </row>
    <row r="182" spans="1:11" s="261" customFormat="1" ht="21">
      <c r="A182" s="227"/>
      <c r="B182" s="314" t="s">
        <v>230</v>
      </c>
      <c r="C182" s="227"/>
      <c r="D182" s="227"/>
      <c r="E182" s="310"/>
      <c r="F182" s="310"/>
      <c r="G182" s="310"/>
      <c r="H182" s="310"/>
      <c r="K182" s="262"/>
    </row>
    <row r="183" spans="1:11" s="261" customFormat="1" ht="21.75" thickBot="1">
      <c r="A183" s="227"/>
      <c r="B183" s="227"/>
      <c r="C183" s="227"/>
      <c r="D183" s="227"/>
      <c r="E183" s="310"/>
      <c r="F183" s="310"/>
      <c r="G183" s="310"/>
      <c r="H183" s="310"/>
      <c r="K183" s="262"/>
    </row>
    <row r="184" spans="1:11" s="261" customFormat="1" ht="22.5" thickBot="1" thickTop="1">
      <c r="A184" s="313">
        <v>2</v>
      </c>
      <c r="B184" s="227" t="s">
        <v>232</v>
      </c>
      <c r="C184" s="227"/>
      <c r="D184" s="227"/>
      <c r="E184" s="310">
        <v>27320</v>
      </c>
      <c r="F184" s="310">
        <v>27320</v>
      </c>
      <c r="G184" s="310">
        <v>0</v>
      </c>
      <c r="H184" s="306">
        <f>E184-F184-G184</f>
        <v>0</v>
      </c>
      <c r="K184" s="262"/>
    </row>
    <row r="185" spans="1:11" s="261" customFormat="1" ht="21">
      <c r="A185" s="227"/>
      <c r="B185" s="227" t="s">
        <v>233</v>
      </c>
      <c r="C185" s="227"/>
      <c r="D185" s="227"/>
      <c r="E185" s="310"/>
      <c r="F185" s="310"/>
      <c r="G185" s="310"/>
      <c r="H185" s="310"/>
      <c r="K185" s="262"/>
    </row>
    <row r="186" spans="1:11" s="261" customFormat="1" ht="21">
      <c r="A186" s="227"/>
      <c r="B186" s="227"/>
      <c r="C186" s="227"/>
      <c r="D186" s="227"/>
      <c r="E186" s="310"/>
      <c r="F186" s="310"/>
      <c r="G186" s="310"/>
      <c r="H186" s="310"/>
      <c r="K186" s="262"/>
    </row>
    <row r="187" spans="1:11" s="261" customFormat="1" ht="21.75" thickBot="1">
      <c r="A187" s="227"/>
      <c r="B187" s="227" t="s">
        <v>106</v>
      </c>
      <c r="C187" s="227"/>
      <c r="D187" s="227"/>
      <c r="E187" s="310"/>
      <c r="F187" s="310"/>
      <c r="G187" s="310"/>
      <c r="H187" s="310"/>
      <c r="K187" s="262"/>
    </row>
    <row r="188" spans="1:11" s="261" customFormat="1" ht="22.5" thickBot="1" thickTop="1">
      <c r="A188" s="227"/>
      <c r="B188" s="227" t="s">
        <v>107</v>
      </c>
      <c r="C188" s="227"/>
      <c r="D188" s="227"/>
      <c r="E188" s="310">
        <v>2495000</v>
      </c>
      <c r="F188" s="310">
        <v>2495000</v>
      </c>
      <c r="G188" s="310">
        <v>0</v>
      </c>
      <c r="H188" s="306">
        <f>E188-F188-G188</f>
        <v>0</v>
      </c>
      <c r="K188" s="262"/>
    </row>
    <row r="189" spans="1:11" s="261" customFormat="1" ht="22.5" thickBot="1" thickTop="1">
      <c r="A189" s="227"/>
      <c r="B189" s="227" t="s">
        <v>108</v>
      </c>
      <c r="C189" s="227"/>
      <c r="D189" s="227"/>
      <c r="E189" s="310">
        <v>1000000</v>
      </c>
      <c r="F189" s="310">
        <v>1000000</v>
      </c>
      <c r="G189" s="310">
        <v>0</v>
      </c>
      <c r="H189" s="306">
        <f>E189-F189-G189</f>
        <v>0</v>
      </c>
      <c r="K189" s="262"/>
    </row>
    <row r="190" spans="1:11" s="183" customFormat="1" ht="21">
      <c r="A190" s="300"/>
      <c r="B190" s="300"/>
      <c r="C190" s="300"/>
      <c r="D190" s="300"/>
      <c r="E190" s="302"/>
      <c r="F190" s="302"/>
      <c r="G190" s="302"/>
      <c r="H190" s="318"/>
      <c r="K190" s="192"/>
    </row>
    <row r="191" spans="1:8" ht="21">
      <c r="A191" s="133"/>
      <c r="B191" s="133"/>
      <c r="C191" s="133"/>
      <c r="D191" s="133"/>
      <c r="E191" s="142"/>
      <c r="F191" s="142"/>
      <c r="G191" s="142"/>
      <c r="H191" s="142"/>
    </row>
    <row r="192" spans="1:8" ht="21.75" thickBot="1">
      <c r="A192" s="133"/>
      <c r="B192" s="133" t="s">
        <v>234</v>
      </c>
      <c r="C192" s="133"/>
      <c r="D192" s="133"/>
      <c r="E192" s="142"/>
      <c r="F192" s="142"/>
      <c r="G192" s="142"/>
      <c r="H192" s="142"/>
    </row>
    <row r="193" spans="1:8" ht="22.5" thickBot="1" thickTop="1">
      <c r="A193" s="133"/>
      <c r="B193" s="133" t="s">
        <v>235</v>
      </c>
      <c r="C193" s="133"/>
      <c r="D193" s="133"/>
      <c r="E193" s="142">
        <f>999000+1598000+3500000</f>
        <v>6097000</v>
      </c>
      <c r="F193" s="142">
        <v>0</v>
      </c>
      <c r="G193" s="142">
        <v>0</v>
      </c>
      <c r="H193" s="306">
        <f>E193-F193-G193</f>
        <v>6097000</v>
      </c>
    </row>
    <row r="194" spans="1:8" ht="21">
      <c r="A194" s="133"/>
      <c r="B194" s="133"/>
      <c r="C194" s="133"/>
      <c r="D194" s="133"/>
      <c r="E194" s="142"/>
      <c r="F194" s="142"/>
      <c r="G194" s="142"/>
      <c r="H194" s="142"/>
    </row>
    <row r="195" spans="1:8" ht="21">
      <c r="A195" s="133"/>
      <c r="B195" s="133"/>
      <c r="C195" s="133"/>
      <c r="D195" s="133"/>
      <c r="E195" s="142"/>
      <c r="F195" s="142"/>
      <c r="G195" s="142"/>
      <c r="H195" s="142"/>
    </row>
    <row r="196" spans="1:8" ht="21">
      <c r="A196" s="133"/>
      <c r="B196" s="133"/>
      <c r="C196" s="133"/>
      <c r="D196" s="133"/>
      <c r="E196" s="142"/>
      <c r="F196" s="142"/>
      <c r="G196" s="142"/>
      <c r="H196" s="142"/>
    </row>
    <row r="197" spans="1:11" s="261" customFormat="1" ht="21.75" thickBot="1">
      <c r="A197" s="227"/>
      <c r="B197" s="227" t="s">
        <v>279</v>
      </c>
      <c r="C197" s="227"/>
      <c r="D197" s="227"/>
      <c r="E197" s="310"/>
      <c r="F197" s="310"/>
      <c r="G197" s="310"/>
      <c r="H197" s="310"/>
      <c r="K197" s="262"/>
    </row>
    <row r="198" spans="1:11" s="261" customFormat="1" ht="22.5" thickBot="1" thickTop="1">
      <c r="A198" s="313">
        <v>1</v>
      </c>
      <c r="B198" s="317" t="s">
        <v>280</v>
      </c>
      <c r="C198" s="227"/>
      <c r="D198" s="227"/>
      <c r="E198" s="310">
        <v>1963260</v>
      </c>
      <c r="F198" s="310">
        <v>0</v>
      </c>
      <c r="G198" s="310">
        <v>0</v>
      </c>
      <c r="H198" s="306">
        <f>E198-F198-G198</f>
        <v>1963260</v>
      </c>
      <c r="K198" s="262"/>
    </row>
    <row r="199" spans="1:11" s="261" customFormat="1" ht="22.5" thickBot="1" thickTop="1">
      <c r="A199" s="313">
        <v>2</v>
      </c>
      <c r="B199" s="314" t="s">
        <v>281</v>
      </c>
      <c r="C199" s="227"/>
      <c r="D199" s="227"/>
      <c r="E199" s="310">
        <v>29250</v>
      </c>
      <c r="F199" s="310">
        <v>0</v>
      </c>
      <c r="G199" s="310">
        <v>0</v>
      </c>
      <c r="H199" s="306">
        <f>E199-F199-G199</f>
        <v>29250</v>
      </c>
      <c r="K199" s="262"/>
    </row>
    <row r="200" spans="1:8" ht="22.5" thickBot="1" thickTop="1">
      <c r="A200" s="313">
        <v>3</v>
      </c>
      <c r="B200" s="314" t="s">
        <v>282</v>
      </c>
      <c r="C200" s="227"/>
      <c r="D200" s="227"/>
      <c r="E200" s="310">
        <v>1560</v>
      </c>
      <c r="F200" s="310">
        <v>0</v>
      </c>
      <c r="G200" s="310">
        <v>0</v>
      </c>
      <c r="H200" s="306">
        <f>E200-F200-G200</f>
        <v>1560</v>
      </c>
    </row>
    <row r="201" spans="1:8" ht="21">
      <c r="A201" s="334"/>
      <c r="B201" s="334"/>
      <c r="C201" s="334"/>
      <c r="D201" s="334"/>
      <c r="E201" s="335"/>
      <c r="F201" s="335"/>
      <c r="G201" s="335"/>
      <c r="H201" s="333"/>
    </row>
    <row r="202" spans="1:11" s="183" customFormat="1" ht="21.75" thickBot="1">
      <c r="A202" s="300"/>
      <c r="B202" s="301" t="s">
        <v>304</v>
      </c>
      <c r="C202" s="300"/>
      <c r="D202" s="300"/>
      <c r="E202" s="302"/>
      <c r="F202" s="302"/>
      <c r="G202" s="302"/>
      <c r="H202" s="302"/>
      <c r="K202" s="192"/>
    </row>
    <row r="203" spans="1:11" s="227" customFormat="1" ht="22.5" thickBot="1" thickTop="1">
      <c r="A203" s="303">
        <v>1</v>
      </c>
      <c r="B203" s="224" t="s">
        <v>16</v>
      </c>
      <c r="C203" s="224"/>
      <c r="D203" s="224"/>
      <c r="E203" s="304">
        <f>9210900+5645020</f>
        <v>14855920</v>
      </c>
      <c r="F203" s="304">
        <f>6698645.16+1670375+17500+1688112.9+3500+1685600+6964.29</f>
        <v>11770697.35</v>
      </c>
      <c r="G203" s="305"/>
      <c r="H203" s="306">
        <f>E203-F203-G203</f>
        <v>3085222.6500000004</v>
      </c>
      <c r="K203" s="228"/>
    </row>
    <row r="204" spans="1:11" s="227" customFormat="1" ht="22.5" thickBot="1" thickTop="1">
      <c r="A204" s="240">
        <v>2</v>
      </c>
      <c r="B204" s="231" t="s">
        <v>104</v>
      </c>
      <c r="C204" s="231"/>
      <c r="D204" s="231"/>
      <c r="E204" s="307">
        <f>143364+14604+70327</f>
        <v>228295</v>
      </c>
      <c r="F204" s="307">
        <f>113956+24519+23769+4910+2130</f>
        <v>169284</v>
      </c>
      <c r="G204" s="307"/>
      <c r="H204" s="306">
        <f aca="true" t="shared" si="7" ref="H204:H212">E204-F204-G204</f>
        <v>59011</v>
      </c>
      <c r="K204" s="228"/>
    </row>
    <row r="205" spans="1:11" s="227" customFormat="1" ht="22.5" thickBot="1" thickTop="1">
      <c r="A205" s="303">
        <v>3</v>
      </c>
      <c r="B205" s="234" t="s">
        <v>32</v>
      </c>
      <c r="C205" s="234"/>
      <c r="D205" s="234"/>
      <c r="E205" s="308">
        <f>5000+17500</f>
        <v>22500</v>
      </c>
      <c r="F205" s="308">
        <f>5000+12500</f>
        <v>17500</v>
      </c>
      <c r="G205" s="309"/>
      <c r="H205" s="306">
        <f t="shared" si="7"/>
        <v>5000</v>
      </c>
      <c r="K205" s="228"/>
    </row>
    <row r="206" spans="1:11" s="227" customFormat="1" ht="22.5" thickBot="1" thickTop="1">
      <c r="A206" s="240">
        <v>4</v>
      </c>
      <c r="B206" s="234" t="s">
        <v>34</v>
      </c>
      <c r="C206" s="236"/>
      <c r="D206" s="236"/>
      <c r="E206" s="310">
        <f>1792433+847836</f>
        <v>2640269</v>
      </c>
      <c r="F206" s="310">
        <f>1792433+847836</f>
        <v>2640269</v>
      </c>
      <c r="G206" s="310"/>
      <c r="H206" s="306">
        <f t="shared" si="7"/>
        <v>0</v>
      </c>
      <c r="I206" s="238"/>
      <c r="J206" s="238"/>
      <c r="K206" s="239"/>
    </row>
    <row r="207" spans="1:11" s="227" customFormat="1" ht="22.5" thickBot="1" thickTop="1">
      <c r="A207" s="303">
        <v>5</v>
      </c>
      <c r="B207" s="234" t="s">
        <v>11</v>
      </c>
      <c r="C207" s="234"/>
      <c r="D207" s="234"/>
      <c r="E207" s="308">
        <f>57000+36000</f>
        <v>93000</v>
      </c>
      <c r="F207" s="308">
        <f>30000+6000</f>
        <v>36000</v>
      </c>
      <c r="G207" s="309">
        <v>21000</v>
      </c>
      <c r="H207" s="306">
        <f t="shared" si="7"/>
        <v>36000</v>
      </c>
      <c r="I207" s="238">
        <f>SUM(E203:E207)</f>
        <v>17839984</v>
      </c>
      <c r="J207" s="238">
        <f>SUM(F203:F207)</f>
        <v>14633750.35</v>
      </c>
      <c r="K207" s="238">
        <f>SUM(H203:H207)</f>
        <v>3185233.6500000004</v>
      </c>
    </row>
    <row r="208" spans="1:11" s="227" customFormat="1" ht="22.5" thickBot="1" thickTop="1">
      <c r="A208" s="240">
        <v>6</v>
      </c>
      <c r="B208" s="234" t="s">
        <v>33</v>
      </c>
      <c r="C208" s="236"/>
      <c r="D208" s="236"/>
      <c r="E208" s="241">
        <f>454700+119000</f>
        <v>573700</v>
      </c>
      <c r="F208" s="242">
        <f>440250+13200</f>
        <v>453450</v>
      </c>
      <c r="G208" s="284"/>
      <c r="H208" s="306">
        <f t="shared" si="7"/>
        <v>120250</v>
      </c>
      <c r="I208" s="243"/>
      <c r="J208" s="243"/>
      <c r="K208" s="244"/>
    </row>
    <row r="209" spans="1:11" s="227" customFormat="1" ht="22.5" thickBot="1" thickTop="1">
      <c r="A209" s="240">
        <v>7</v>
      </c>
      <c r="B209" s="234" t="s">
        <v>59</v>
      </c>
      <c r="C209" s="236"/>
      <c r="D209" s="236"/>
      <c r="E209" s="241"/>
      <c r="F209" s="242"/>
      <c r="G209" s="284"/>
      <c r="H209" s="306">
        <f t="shared" si="7"/>
        <v>0</v>
      </c>
      <c r="I209" s="243"/>
      <c r="J209" s="243"/>
      <c r="K209" s="243"/>
    </row>
    <row r="210" spans="1:11" s="249" customFormat="1" ht="22.5" thickBot="1" thickTop="1">
      <c r="A210" s="303">
        <v>8</v>
      </c>
      <c r="B210" s="234" t="s">
        <v>182</v>
      </c>
      <c r="C210" s="234"/>
      <c r="D210" s="234"/>
      <c r="E210" s="319">
        <v>1876900</v>
      </c>
      <c r="F210" s="319">
        <v>0</v>
      </c>
      <c r="G210" s="284"/>
      <c r="H210" s="321">
        <f t="shared" si="7"/>
        <v>1876900</v>
      </c>
      <c r="I210" s="227"/>
      <c r="K210" s="250"/>
    </row>
    <row r="211" spans="1:11" s="249" customFormat="1" ht="22.5" thickBot="1" thickTop="1">
      <c r="A211" s="303">
        <v>9</v>
      </c>
      <c r="B211" s="234" t="s">
        <v>65</v>
      </c>
      <c r="C211" s="236"/>
      <c r="D211" s="236"/>
      <c r="E211" s="311"/>
      <c r="F211" s="242"/>
      <c r="G211" s="284"/>
      <c r="H211" s="306">
        <f t="shared" si="7"/>
        <v>0</v>
      </c>
      <c r="I211" s="243"/>
      <c r="J211" s="255"/>
      <c r="K211" s="256"/>
    </row>
    <row r="212" spans="1:11" s="249" customFormat="1" ht="22.5" thickBot="1" thickTop="1">
      <c r="A212" s="312">
        <v>10</v>
      </c>
      <c r="B212" s="234" t="s">
        <v>154</v>
      </c>
      <c r="C212" s="234"/>
      <c r="D212" s="234"/>
      <c r="E212" s="242">
        <f>53100+8000</f>
        <v>61100</v>
      </c>
      <c r="F212" s="242">
        <f>1000+12800+16770+10800+4980+930+4935+680</f>
        <v>52895</v>
      </c>
      <c r="G212" s="284"/>
      <c r="H212" s="306">
        <f t="shared" si="7"/>
        <v>8205</v>
      </c>
      <c r="I212" s="227"/>
      <c r="K212" s="250"/>
    </row>
    <row r="213" spans="1:15" s="249" customFormat="1" ht="22.5" thickBot="1" thickTop="1">
      <c r="A213" s="312">
        <v>11</v>
      </c>
      <c r="B213" s="234" t="s">
        <v>156</v>
      </c>
      <c r="C213" s="234"/>
      <c r="D213" s="234"/>
      <c r="E213" s="319">
        <v>8350</v>
      </c>
      <c r="F213" s="319">
        <v>1900</v>
      </c>
      <c r="G213" s="284"/>
      <c r="H213" s="320">
        <f>E213-F213-G213</f>
        <v>6450</v>
      </c>
      <c r="I213" s="294">
        <f>SUM(E213:E213)</f>
        <v>8350</v>
      </c>
      <c r="J213" s="238">
        <f>SUM(F212:F213)</f>
        <v>54795</v>
      </c>
      <c r="K213" s="238">
        <f>SUM(H213:H213)</f>
        <v>6450</v>
      </c>
      <c r="L213" s="266">
        <f>E203+E204+E205+E206++E207+E208+E210+E212+E213</f>
        <v>20360034</v>
      </c>
      <c r="M213" s="266">
        <f>F203+F204+F205+F206++F207+F208+F210+F212+F213</f>
        <v>15141995.35</v>
      </c>
      <c r="N213" s="266">
        <f>G203+G204+G205+G206++G207+G208+G210+G212+G213</f>
        <v>21000</v>
      </c>
      <c r="O213" s="266">
        <f>H203+H204+H205+H206++H207+H208+H210+H212+H213</f>
        <v>5197038.65</v>
      </c>
    </row>
    <row r="214" spans="1:15" s="249" customFormat="1" ht="22.5" thickBot="1" thickTop="1">
      <c r="A214" s="312">
        <v>12</v>
      </c>
      <c r="B214" s="234" t="s">
        <v>306</v>
      </c>
      <c r="C214" s="234"/>
      <c r="D214" s="234"/>
      <c r="E214" s="319">
        <v>5000</v>
      </c>
      <c r="F214" s="319">
        <v>0</v>
      </c>
      <c r="G214" s="284"/>
      <c r="H214" s="320">
        <f>E214-F214-G214</f>
        <v>5000</v>
      </c>
      <c r="I214" s="266"/>
      <c r="J214" s="238"/>
      <c r="K214" s="238"/>
      <c r="L214" s="266"/>
      <c r="M214" s="266"/>
      <c r="N214" s="266"/>
      <c r="O214" s="266"/>
    </row>
    <row r="215" spans="1:11" s="249" customFormat="1" ht="21.75" thickBot="1">
      <c r="A215" s="315"/>
      <c r="B215" s="316" t="s">
        <v>35</v>
      </c>
      <c r="C215" s="316"/>
      <c r="D215" s="316"/>
      <c r="E215" s="242">
        <f>SUM(E203:E214)</f>
        <v>20365034</v>
      </c>
      <c r="F215" s="242">
        <f>SUM(F203:F214)</f>
        <v>15141995.35</v>
      </c>
      <c r="G215" s="242">
        <f>SUM(G203:G214)</f>
        <v>21000</v>
      </c>
      <c r="H215" s="242">
        <f>SUM(H203:H214)</f>
        <v>5202038.65</v>
      </c>
      <c r="I215" s="249" t="s">
        <v>336</v>
      </c>
      <c r="K215" s="250"/>
    </row>
    <row r="216" spans="1:11" s="249" customFormat="1" ht="21.75" thickBot="1">
      <c r="A216" s="315"/>
      <c r="B216" s="316" t="s">
        <v>36</v>
      </c>
      <c r="C216" s="316"/>
      <c r="D216" s="316"/>
      <c r="E216" s="242"/>
      <c r="F216" s="242"/>
      <c r="G216" s="242">
        <f>(F215+G215)*100/E215</f>
        <v>74.45602766977949</v>
      </c>
      <c r="H216" s="242"/>
      <c r="I216" s="341">
        <f>F215+G215</f>
        <v>15162995.35</v>
      </c>
      <c r="K216" s="250"/>
    </row>
    <row r="217" spans="1:11" s="249" customFormat="1" ht="21.75" thickBot="1">
      <c r="A217" s="342"/>
      <c r="B217" s="343"/>
      <c r="C217" s="343"/>
      <c r="D217" s="343"/>
      <c r="E217" s="344"/>
      <c r="F217" s="344"/>
      <c r="G217" s="344"/>
      <c r="H217" s="284"/>
      <c r="I217" s="294"/>
      <c r="K217" s="250"/>
    </row>
    <row r="218" spans="1:11" s="249" customFormat="1" ht="21.75" thickBot="1">
      <c r="A218" s="342"/>
      <c r="B218" s="346" t="s">
        <v>337</v>
      </c>
      <c r="C218" s="343"/>
      <c r="D218" s="343"/>
      <c r="E218" s="344"/>
      <c r="F218" s="344"/>
      <c r="G218" s="344"/>
      <c r="H218" s="284"/>
      <c r="I218" s="294"/>
      <c r="K218" s="250"/>
    </row>
    <row r="219" spans="1:11" s="261" customFormat="1" ht="22.5" thickBot="1" thickTop="1">
      <c r="A219" s="313">
        <v>1</v>
      </c>
      <c r="B219" s="314" t="s">
        <v>101</v>
      </c>
      <c r="C219" s="227"/>
      <c r="D219" s="227"/>
      <c r="E219" s="310">
        <v>55000</v>
      </c>
      <c r="F219" s="310">
        <v>55000</v>
      </c>
      <c r="G219" s="310"/>
      <c r="H219" s="132">
        <f>E219-F219-G219</f>
        <v>0</v>
      </c>
      <c r="I219" s="227"/>
      <c r="K219" s="262"/>
    </row>
    <row r="220" spans="1:11" s="261" customFormat="1" ht="22.5" thickBot="1" thickTop="1">
      <c r="A220" s="227"/>
      <c r="B220" s="227" t="s">
        <v>102</v>
      </c>
      <c r="C220" s="227"/>
      <c r="D220" s="227"/>
      <c r="E220" s="310"/>
      <c r="F220" s="310"/>
      <c r="G220" s="310"/>
      <c r="H220" s="132"/>
      <c r="I220" s="227"/>
      <c r="K220" s="262"/>
    </row>
    <row r="221" spans="1:11" s="261" customFormat="1" ht="21">
      <c r="A221" s="227"/>
      <c r="B221" s="227" t="s">
        <v>103</v>
      </c>
      <c r="C221" s="227"/>
      <c r="D221" s="227"/>
      <c r="E221" s="310"/>
      <c r="F221" s="310"/>
      <c r="G221" s="310"/>
      <c r="H221" s="345"/>
      <c r="I221" s="227"/>
      <c r="K221" s="262"/>
    </row>
    <row r="222" spans="1:11" s="261" customFormat="1" ht="21">
      <c r="A222" s="227"/>
      <c r="B222" s="227"/>
      <c r="C222" s="227"/>
      <c r="D222" s="227"/>
      <c r="E222" s="310"/>
      <c r="F222" s="310"/>
      <c r="G222" s="310"/>
      <c r="H222" s="345"/>
      <c r="I222" s="227"/>
      <c r="K222" s="262"/>
    </row>
    <row r="223" spans="1:11" s="261" customFormat="1" ht="21.75" thickBot="1">
      <c r="A223" s="227"/>
      <c r="B223" s="227" t="s">
        <v>305</v>
      </c>
      <c r="C223" s="227"/>
      <c r="D223" s="227"/>
      <c r="E223" s="310"/>
      <c r="F223" s="310"/>
      <c r="G223" s="310"/>
      <c r="H223" s="310"/>
      <c r="K223" s="262"/>
    </row>
    <row r="224" spans="1:11" s="261" customFormat="1" ht="22.5" thickBot="1" thickTop="1">
      <c r="A224" s="313">
        <v>1</v>
      </c>
      <c r="B224" s="317" t="s">
        <v>95</v>
      </c>
      <c r="C224" s="227"/>
      <c r="D224" s="227"/>
      <c r="E224" s="310">
        <f>269000+471500+177780.49</f>
        <v>918280.49</v>
      </c>
      <c r="F224" s="310">
        <f>226000+471500+177780.49</f>
        <v>875280.49</v>
      </c>
      <c r="G224" s="310">
        <v>43000</v>
      </c>
      <c r="H224" s="306">
        <f>E224-F224-G224</f>
        <v>0</v>
      </c>
      <c r="K224" s="262"/>
    </row>
    <row r="225" spans="1:11" s="261" customFormat="1" ht="21">
      <c r="A225" s="227"/>
      <c r="B225" s="314" t="s">
        <v>230</v>
      </c>
      <c r="C225" s="227"/>
      <c r="D225" s="227"/>
      <c r="E225" s="310"/>
      <c r="F225" s="310"/>
      <c r="G225" s="310"/>
      <c r="H225" s="310"/>
      <c r="K225" s="262"/>
    </row>
    <row r="226" spans="1:11" s="261" customFormat="1" ht="21.75" thickBot="1">
      <c r="A226" s="227"/>
      <c r="B226" s="227"/>
      <c r="C226" s="227"/>
      <c r="D226" s="227"/>
      <c r="E226" s="310"/>
      <c r="F226" s="310"/>
      <c r="G226" s="310"/>
      <c r="H226" s="310"/>
      <c r="K226" s="262"/>
    </row>
    <row r="227" spans="1:11" s="261" customFormat="1" ht="22.5" thickBot="1" thickTop="1">
      <c r="A227" s="313">
        <v>2</v>
      </c>
      <c r="B227" s="227" t="s">
        <v>232</v>
      </c>
      <c r="C227" s="227"/>
      <c r="D227" s="227"/>
      <c r="E227" s="310">
        <f>27320+25440</f>
        <v>52760</v>
      </c>
      <c r="F227" s="310">
        <v>27320</v>
      </c>
      <c r="G227" s="310">
        <v>0</v>
      </c>
      <c r="H227" s="306">
        <f>E227-F227-G227</f>
        <v>25440</v>
      </c>
      <c r="K227" s="262"/>
    </row>
    <row r="228" spans="1:11" s="261" customFormat="1" ht="21">
      <c r="A228" s="227"/>
      <c r="B228" s="227" t="s">
        <v>233</v>
      </c>
      <c r="C228" s="227"/>
      <c r="D228" s="227"/>
      <c r="E228" s="310"/>
      <c r="F228" s="310"/>
      <c r="G228" s="310"/>
      <c r="H228" s="310"/>
      <c r="K228" s="262"/>
    </row>
    <row r="229" spans="1:11" s="261" customFormat="1" ht="21">
      <c r="A229" s="227"/>
      <c r="B229" s="227"/>
      <c r="C229" s="227"/>
      <c r="D229" s="227"/>
      <c r="E229" s="310"/>
      <c r="F229" s="310"/>
      <c r="G229" s="310"/>
      <c r="H229" s="310"/>
      <c r="K229" s="262"/>
    </row>
    <row r="230" spans="1:11" s="261" customFormat="1" ht="21.75" thickBot="1">
      <c r="A230" s="227"/>
      <c r="B230" s="227" t="s">
        <v>106</v>
      </c>
      <c r="C230" s="227"/>
      <c r="D230" s="227"/>
      <c r="E230" s="310"/>
      <c r="F230" s="310"/>
      <c r="G230" s="310"/>
      <c r="H230" s="310"/>
      <c r="K230" s="262"/>
    </row>
    <row r="231" spans="1:11" s="261" customFormat="1" ht="22.5" thickBot="1" thickTop="1">
      <c r="A231" s="227"/>
      <c r="B231" s="227" t="s">
        <v>107</v>
      </c>
      <c r="C231" s="227"/>
      <c r="D231" s="227"/>
      <c r="E231" s="310">
        <v>2495000</v>
      </c>
      <c r="F231" s="310">
        <v>2495000</v>
      </c>
      <c r="G231" s="310">
        <v>0</v>
      </c>
      <c r="H231" s="306">
        <f>E231-F231-G231</f>
        <v>0</v>
      </c>
      <c r="K231" s="262"/>
    </row>
    <row r="232" spans="1:11" s="261" customFormat="1" ht="22.5" thickBot="1" thickTop="1">
      <c r="A232" s="227"/>
      <c r="B232" s="227" t="s">
        <v>108</v>
      </c>
      <c r="C232" s="227"/>
      <c r="D232" s="227"/>
      <c r="E232" s="310">
        <v>1000000</v>
      </c>
      <c r="F232" s="310">
        <v>1000000</v>
      </c>
      <c r="G232" s="310">
        <v>0</v>
      </c>
      <c r="H232" s="306">
        <f>E232-F232-G232</f>
        <v>0</v>
      </c>
      <c r="K232" s="262"/>
    </row>
    <row r="233" spans="1:11" s="183" customFormat="1" ht="21">
      <c r="A233" s="300"/>
      <c r="B233" s="300"/>
      <c r="C233" s="300"/>
      <c r="D233" s="300"/>
      <c r="E233" s="302"/>
      <c r="F233" s="302"/>
      <c r="G233" s="302"/>
      <c r="H233" s="318"/>
      <c r="K233" s="192"/>
    </row>
    <row r="234" spans="1:8" ht="21">
      <c r="A234" s="133"/>
      <c r="B234" s="133"/>
      <c r="C234" s="133"/>
      <c r="D234" s="133"/>
      <c r="E234" s="142"/>
      <c r="F234" s="142"/>
      <c r="G234" s="142"/>
      <c r="H234" s="142"/>
    </row>
    <row r="235" spans="1:8" ht="21.75" thickBot="1">
      <c r="A235" s="133"/>
      <c r="B235" s="133" t="s">
        <v>234</v>
      </c>
      <c r="C235" s="133"/>
      <c r="D235" s="133"/>
      <c r="E235" s="142"/>
      <c r="F235" s="142"/>
      <c r="G235" s="142"/>
      <c r="H235" s="142"/>
    </row>
    <row r="236" spans="1:8" ht="22.5" thickBot="1" thickTop="1">
      <c r="A236" s="133"/>
      <c r="B236" s="133" t="s">
        <v>235</v>
      </c>
      <c r="C236" s="133"/>
      <c r="D236" s="133"/>
      <c r="E236" s="142">
        <f>999000+1598000+3500000</f>
        <v>6097000</v>
      </c>
      <c r="F236" s="142">
        <v>0</v>
      </c>
      <c r="G236" s="142">
        <v>0</v>
      </c>
      <c r="H236" s="306">
        <f>E236-F236-G236</f>
        <v>6097000</v>
      </c>
    </row>
    <row r="237" spans="1:8" ht="21">
      <c r="A237" s="133"/>
      <c r="B237" s="133"/>
      <c r="C237" s="133"/>
      <c r="D237" s="133"/>
      <c r="E237" s="142"/>
      <c r="F237" s="142"/>
      <c r="G237" s="142"/>
      <c r="H237" s="142"/>
    </row>
    <row r="238" spans="1:8" ht="21">
      <c r="A238" s="133"/>
      <c r="B238" s="133"/>
      <c r="C238" s="133"/>
      <c r="D238" s="133"/>
      <c r="E238" s="142"/>
      <c r="F238" s="142"/>
      <c r="G238" s="142"/>
      <c r="H238" s="142"/>
    </row>
    <row r="239" spans="1:11" s="261" customFormat="1" ht="21.75" thickBot="1">
      <c r="A239" s="227"/>
      <c r="B239" s="227" t="s">
        <v>279</v>
      </c>
      <c r="C239" s="227"/>
      <c r="D239" s="227"/>
      <c r="E239" s="310"/>
      <c r="F239" s="310"/>
      <c r="G239" s="310"/>
      <c r="H239" s="310"/>
      <c r="K239" s="262"/>
    </row>
    <row r="240" spans="1:11" s="261" customFormat="1" ht="22.5" thickBot="1" thickTop="1">
      <c r="A240" s="313">
        <v>1</v>
      </c>
      <c r="B240" s="317" t="s">
        <v>280</v>
      </c>
      <c r="C240" s="227"/>
      <c r="D240" s="227"/>
      <c r="E240" s="310">
        <v>1963260</v>
      </c>
      <c r="F240" s="310">
        <f>242360+42064.52+242360</f>
        <v>526784.52</v>
      </c>
      <c r="G240" s="310">
        <v>0</v>
      </c>
      <c r="H240" s="306">
        <f>E240-F240-G240</f>
        <v>1436475.48</v>
      </c>
      <c r="K240" s="262"/>
    </row>
    <row r="241" spans="1:11" s="261" customFormat="1" ht="22.5" thickBot="1" thickTop="1">
      <c r="A241" s="313">
        <v>2</v>
      </c>
      <c r="B241" s="314" t="s">
        <v>281</v>
      </c>
      <c r="C241" s="227"/>
      <c r="D241" s="227"/>
      <c r="E241" s="310">
        <v>29250</v>
      </c>
      <c r="F241" s="310">
        <f>3750+1500+750</f>
        <v>6000</v>
      </c>
      <c r="G241" s="310">
        <v>0</v>
      </c>
      <c r="H241" s="306">
        <f>E241-F241-G241</f>
        <v>23250</v>
      </c>
      <c r="K241" s="262"/>
    </row>
    <row r="242" spans="1:8" ht="22.5" thickBot="1" thickTop="1">
      <c r="A242" s="313">
        <v>3</v>
      </c>
      <c r="B242" s="314" t="s">
        <v>282</v>
      </c>
      <c r="C242" s="227"/>
      <c r="D242" s="227"/>
      <c r="E242" s="310">
        <v>1560</v>
      </c>
      <c r="F242" s="310">
        <v>0</v>
      </c>
      <c r="G242" s="310">
        <v>0</v>
      </c>
      <c r="H242" s="306">
        <f>E242-F242-G242</f>
        <v>1560</v>
      </c>
    </row>
    <row r="243" spans="5:8" ht="21">
      <c r="E243" s="64">
        <f>SUM(E240:E242)</f>
        <v>1994070</v>
      </c>
      <c r="F243" s="64">
        <f>SUM(F240:F242)</f>
        <v>532784.52</v>
      </c>
      <c r="G243" s="64">
        <f>SUM(G240:G242)</f>
        <v>0</v>
      </c>
      <c r="H243" s="64">
        <f>SUM(H240:H242)</f>
        <v>1461285.48</v>
      </c>
    </row>
    <row r="244" ht="21">
      <c r="F244" s="64">
        <f>F243*100/E243</f>
        <v>26.718446192962134</v>
      </c>
    </row>
    <row r="245" spans="1:11" s="183" customFormat="1" ht="21.75" thickBot="1">
      <c r="A245" s="300"/>
      <c r="B245" s="301" t="s">
        <v>377</v>
      </c>
      <c r="C245" s="300"/>
      <c r="D245" s="300"/>
      <c r="E245" s="302"/>
      <c r="F245" s="302"/>
      <c r="G245" s="302"/>
      <c r="H245" s="302"/>
      <c r="K245" s="192"/>
    </row>
    <row r="246" spans="1:11" s="227" customFormat="1" ht="22.5" thickBot="1" thickTop="1">
      <c r="A246" s="303">
        <v>1</v>
      </c>
      <c r="B246" s="224" t="s">
        <v>16</v>
      </c>
      <c r="C246" s="224"/>
      <c r="D246" s="224"/>
      <c r="E246" s="304">
        <f>9210900+5645020</f>
        <v>14855920</v>
      </c>
      <c r="F246" s="304">
        <f>6698645.16+1670375+17500+1688112.9+3500+1685600+6964.29+1690709.68</f>
        <v>13461407.03</v>
      </c>
      <c r="G246" s="305"/>
      <c r="H246" s="132">
        <f>E246-F246-G246</f>
        <v>1394512.9700000007</v>
      </c>
      <c r="K246" s="228"/>
    </row>
    <row r="247" spans="1:11" s="227" customFormat="1" ht="22.5" thickBot="1" thickTop="1">
      <c r="A247" s="240">
        <v>2</v>
      </c>
      <c r="B247" s="231" t="s">
        <v>104</v>
      </c>
      <c r="C247" s="231"/>
      <c r="D247" s="231"/>
      <c r="E247" s="307">
        <f>143364+14604+70327</f>
        <v>228295</v>
      </c>
      <c r="F247" s="307">
        <f>113956+24519+23769+4910+2130+4893</f>
        <v>174177</v>
      </c>
      <c r="G247" s="307"/>
      <c r="H247" s="132">
        <f aca="true" t="shared" si="8" ref="H247:H255">E247-F247-G247</f>
        <v>54118</v>
      </c>
      <c r="K247" s="228"/>
    </row>
    <row r="248" spans="1:11" s="227" customFormat="1" ht="22.5" thickBot="1" thickTop="1">
      <c r="A248" s="303">
        <v>3</v>
      </c>
      <c r="B248" s="234" t="s">
        <v>32</v>
      </c>
      <c r="C248" s="234"/>
      <c r="D248" s="234"/>
      <c r="E248" s="308">
        <f>5000+17500</f>
        <v>22500</v>
      </c>
      <c r="F248" s="308">
        <f>5000+12500+2500</f>
        <v>20000</v>
      </c>
      <c r="G248" s="309"/>
      <c r="H248" s="132">
        <f t="shared" si="8"/>
        <v>2500</v>
      </c>
      <c r="K248" s="228"/>
    </row>
    <row r="249" spans="1:11" s="227" customFormat="1" ht="22.5" thickBot="1" thickTop="1">
      <c r="A249" s="240">
        <v>4</v>
      </c>
      <c r="B249" s="234" t="s">
        <v>34</v>
      </c>
      <c r="C249" s="236"/>
      <c r="D249" s="236"/>
      <c r="E249" s="310">
        <f>1792433+847836+847835</f>
        <v>3488104</v>
      </c>
      <c r="F249" s="310">
        <f>1792433+847836</f>
        <v>2640269</v>
      </c>
      <c r="G249" s="310"/>
      <c r="H249" s="306">
        <f t="shared" si="8"/>
        <v>847835</v>
      </c>
      <c r="I249" s="238"/>
      <c r="J249" s="238"/>
      <c r="K249" s="239"/>
    </row>
    <row r="250" spans="1:11" s="227" customFormat="1" ht="22.5" thickBot="1" thickTop="1">
      <c r="A250" s="303">
        <v>5</v>
      </c>
      <c r="B250" s="234" t="s">
        <v>11</v>
      </c>
      <c r="C250" s="234"/>
      <c r="D250" s="234"/>
      <c r="E250" s="308">
        <f>57000+36000</f>
        <v>93000</v>
      </c>
      <c r="F250" s="308">
        <f>30000+6000</f>
        <v>36000</v>
      </c>
      <c r="G250" s="309">
        <v>21000</v>
      </c>
      <c r="H250" s="306">
        <f t="shared" si="8"/>
        <v>36000</v>
      </c>
      <c r="I250" s="238">
        <f>SUM(E246:E250)</f>
        <v>18687819</v>
      </c>
      <c r="J250" s="238">
        <f>SUM(F246:F250)</f>
        <v>16331853.03</v>
      </c>
      <c r="K250" s="238">
        <f>SUM(H246:H250)</f>
        <v>2334965.9700000007</v>
      </c>
    </row>
    <row r="251" spans="1:11" s="227" customFormat="1" ht="22.5" thickBot="1" thickTop="1">
      <c r="A251" s="240">
        <v>6</v>
      </c>
      <c r="B251" s="234" t="s">
        <v>33</v>
      </c>
      <c r="C251" s="236"/>
      <c r="D251" s="236"/>
      <c r="E251" s="241">
        <f>454700+119000</f>
        <v>573700</v>
      </c>
      <c r="F251" s="242">
        <f>440250+13200+120150</f>
        <v>573600</v>
      </c>
      <c r="G251" s="284"/>
      <c r="H251" s="306">
        <f t="shared" si="8"/>
        <v>100</v>
      </c>
      <c r="I251" s="243"/>
      <c r="J251" s="243"/>
      <c r="K251" s="244"/>
    </row>
    <row r="252" spans="1:11" s="227" customFormat="1" ht="22.5" thickBot="1" thickTop="1">
      <c r="A252" s="240">
        <v>7</v>
      </c>
      <c r="B252" s="234" t="s">
        <v>59</v>
      </c>
      <c r="C252" s="236"/>
      <c r="D252" s="236"/>
      <c r="E252" s="241"/>
      <c r="F252" s="242"/>
      <c r="G252" s="284"/>
      <c r="H252" s="306">
        <f t="shared" si="8"/>
        <v>0</v>
      </c>
      <c r="I252" s="243"/>
      <c r="J252" s="243"/>
      <c r="K252" s="243"/>
    </row>
    <row r="253" spans="1:11" s="249" customFormat="1" ht="22.5" thickBot="1" thickTop="1">
      <c r="A253" s="303">
        <v>8</v>
      </c>
      <c r="B253" s="234" t="s">
        <v>182</v>
      </c>
      <c r="C253" s="234"/>
      <c r="D253" s="234"/>
      <c r="E253" s="319">
        <v>1876900</v>
      </c>
      <c r="F253" s="319">
        <v>0</v>
      </c>
      <c r="G253" s="284"/>
      <c r="H253" s="321">
        <f t="shared" si="8"/>
        <v>1876900</v>
      </c>
      <c r="I253" s="227"/>
      <c r="K253" s="250"/>
    </row>
    <row r="254" spans="1:11" s="249" customFormat="1" ht="22.5" thickBot="1" thickTop="1">
      <c r="A254" s="303">
        <v>9</v>
      </c>
      <c r="B254" s="234" t="s">
        <v>65</v>
      </c>
      <c r="C254" s="236"/>
      <c r="D254" s="236"/>
      <c r="E254" s="311"/>
      <c r="F254" s="242"/>
      <c r="G254" s="284"/>
      <c r="H254" s="306">
        <f t="shared" si="8"/>
        <v>0</v>
      </c>
      <c r="I254" s="243"/>
      <c r="J254" s="255"/>
      <c r="K254" s="256"/>
    </row>
    <row r="255" spans="1:11" s="249" customFormat="1" ht="22.5" thickBot="1" thickTop="1">
      <c r="A255" s="312">
        <v>10</v>
      </c>
      <c r="B255" s="234" t="s">
        <v>154</v>
      </c>
      <c r="C255" s="234"/>
      <c r="D255" s="234"/>
      <c r="E255" s="242">
        <f>53100+8000</f>
        <v>61100</v>
      </c>
      <c r="F255" s="242">
        <f>1000+12800+16770+10800+4980+930+4935+680</f>
        <v>52895</v>
      </c>
      <c r="G255" s="284"/>
      <c r="H255" s="306">
        <f t="shared" si="8"/>
        <v>8205</v>
      </c>
      <c r="I255" s="227"/>
      <c r="K255" s="250"/>
    </row>
    <row r="256" spans="1:15" s="249" customFormat="1" ht="22.5" thickBot="1" thickTop="1">
      <c r="A256" s="312">
        <v>11</v>
      </c>
      <c r="B256" s="234" t="s">
        <v>156</v>
      </c>
      <c r="C256" s="234"/>
      <c r="D256" s="234"/>
      <c r="E256" s="319">
        <v>8350</v>
      </c>
      <c r="F256" s="319">
        <f>1900+420</f>
        <v>2320</v>
      </c>
      <c r="G256" s="284"/>
      <c r="H256" s="320">
        <f>E256-F256-G256</f>
        <v>6030</v>
      </c>
      <c r="I256" s="294">
        <f>SUM(E256:E256)</f>
        <v>8350</v>
      </c>
      <c r="J256" s="238">
        <f>SUM(F255:F256)</f>
        <v>55215</v>
      </c>
      <c r="K256" s="238">
        <f>SUM(H256:H256)</f>
        <v>6030</v>
      </c>
      <c r="L256" s="266">
        <f>E246+E247+E248+E249++E250+E251+E253+E255+E256</f>
        <v>21207869</v>
      </c>
      <c r="M256" s="266">
        <f>F246+F247+F248+F249++F250+F251+F253+F255+F256</f>
        <v>16960668.03</v>
      </c>
      <c r="N256" s="266">
        <f>G246+G247+G248+G249++G250+G251+G253+G255+G256</f>
        <v>21000</v>
      </c>
      <c r="O256" s="266">
        <f>H246+H247+H248+H249++H250+H251+H253+H255+H256</f>
        <v>4226200.970000001</v>
      </c>
    </row>
    <row r="257" spans="1:15" s="249" customFormat="1" ht="22.5" thickBot="1" thickTop="1">
      <c r="A257" s="312">
        <v>12</v>
      </c>
      <c r="B257" s="234" t="s">
        <v>306</v>
      </c>
      <c r="C257" s="234"/>
      <c r="D257" s="234"/>
      <c r="E257" s="319">
        <v>5000</v>
      </c>
      <c r="F257" s="319">
        <v>0</v>
      </c>
      <c r="G257" s="284"/>
      <c r="H257" s="320">
        <f>E257-F257-G257</f>
        <v>5000</v>
      </c>
      <c r="I257" s="266"/>
      <c r="J257" s="238"/>
      <c r="K257" s="238"/>
      <c r="L257" s="266"/>
      <c r="M257" s="266"/>
      <c r="N257" s="266"/>
      <c r="O257" s="266"/>
    </row>
    <row r="258" spans="1:11" s="249" customFormat="1" ht="21.75" thickBot="1">
      <c r="A258" s="315"/>
      <c r="B258" s="316" t="s">
        <v>35</v>
      </c>
      <c r="C258" s="316"/>
      <c r="D258" s="316"/>
      <c r="E258" s="242">
        <f>SUM(E246:E257)</f>
        <v>21212869</v>
      </c>
      <c r="F258" s="242">
        <f>SUM(F246:F257)</f>
        <v>16960668.03</v>
      </c>
      <c r="G258" s="242">
        <f>SUM(G246:G257)</f>
        <v>21000</v>
      </c>
      <c r="H258" s="242">
        <f>SUM(H246:H257)</f>
        <v>4231200.970000001</v>
      </c>
      <c r="K258" s="250"/>
    </row>
    <row r="259" spans="1:11" s="249" customFormat="1" ht="21.75" thickBot="1">
      <c r="A259" s="315"/>
      <c r="B259" s="316" t="s">
        <v>36</v>
      </c>
      <c r="C259" s="316"/>
      <c r="D259" s="316"/>
      <c r="E259" s="242"/>
      <c r="F259" s="242"/>
      <c r="G259" s="242">
        <f>(F258+G258)*100/E258</f>
        <v>80.0536128799928</v>
      </c>
      <c r="H259" s="242"/>
      <c r="I259" s="341">
        <f>F258+G258</f>
        <v>16981668.03</v>
      </c>
      <c r="K259" s="250"/>
    </row>
    <row r="260" spans="1:11" s="249" customFormat="1" ht="21.75" thickBot="1">
      <c r="A260" s="342"/>
      <c r="B260" s="343"/>
      <c r="C260" s="343"/>
      <c r="D260" s="343"/>
      <c r="E260" s="344"/>
      <c r="F260" s="344"/>
      <c r="G260" s="344"/>
      <c r="H260" s="284"/>
      <c r="I260" s="294"/>
      <c r="K260" s="250"/>
    </row>
    <row r="261" spans="1:11" s="249" customFormat="1" ht="21.75" thickBot="1">
      <c r="A261" s="342"/>
      <c r="B261" s="346" t="s">
        <v>337</v>
      </c>
      <c r="C261" s="343"/>
      <c r="D261" s="343"/>
      <c r="E261" s="344"/>
      <c r="F261" s="344"/>
      <c r="G261" s="344"/>
      <c r="H261" s="284"/>
      <c r="I261" s="294"/>
      <c r="K261" s="250"/>
    </row>
    <row r="262" spans="1:11" s="261" customFormat="1" ht="22.5" thickBot="1" thickTop="1">
      <c r="A262" s="313">
        <v>1</v>
      </c>
      <c r="B262" s="314" t="s">
        <v>101</v>
      </c>
      <c r="C262" s="227"/>
      <c r="D262" s="227"/>
      <c r="E262" s="310">
        <v>55000</v>
      </c>
      <c r="F262" s="310">
        <v>55000</v>
      </c>
      <c r="G262" s="310"/>
      <c r="H262" s="132">
        <f>E262-F262-G262</f>
        <v>0</v>
      </c>
      <c r="I262" s="227"/>
      <c r="K262" s="262"/>
    </row>
    <row r="263" spans="1:11" s="261" customFormat="1" ht="22.5" thickBot="1" thickTop="1">
      <c r="A263" s="227"/>
      <c r="B263" s="227" t="s">
        <v>102</v>
      </c>
      <c r="C263" s="227"/>
      <c r="D263" s="227"/>
      <c r="E263" s="310"/>
      <c r="F263" s="310"/>
      <c r="G263" s="310"/>
      <c r="H263" s="132"/>
      <c r="I263" s="227"/>
      <c r="K263" s="262"/>
    </row>
    <row r="264" spans="1:11" s="261" customFormat="1" ht="21">
      <c r="A264" s="227"/>
      <c r="B264" s="227" t="s">
        <v>103</v>
      </c>
      <c r="C264" s="227"/>
      <c r="D264" s="227"/>
      <c r="E264" s="310"/>
      <c r="F264" s="310"/>
      <c r="G264" s="310"/>
      <c r="H264" s="345"/>
      <c r="I264" s="227"/>
      <c r="K264" s="262"/>
    </row>
    <row r="265" spans="1:11" s="261" customFormat="1" ht="21">
      <c r="A265" s="227"/>
      <c r="B265" s="227"/>
      <c r="C265" s="227"/>
      <c r="D265" s="227"/>
      <c r="E265" s="310"/>
      <c r="F265" s="310"/>
      <c r="G265" s="310"/>
      <c r="H265" s="345"/>
      <c r="I265" s="227"/>
      <c r="K265" s="262"/>
    </row>
    <row r="266" spans="1:11" s="261" customFormat="1" ht="21.75" thickBot="1">
      <c r="A266" s="227"/>
      <c r="B266" s="227" t="s">
        <v>305</v>
      </c>
      <c r="C266" s="227"/>
      <c r="D266" s="227"/>
      <c r="E266" s="310"/>
      <c r="F266" s="310"/>
      <c r="G266" s="310"/>
      <c r="H266" s="310"/>
      <c r="K266" s="262"/>
    </row>
    <row r="267" spans="1:11" s="261" customFormat="1" ht="22.5" thickBot="1" thickTop="1">
      <c r="A267" s="313">
        <v>1</v>
      </c>
      <c r="B267" s="317" t="s">
        <v>95</v>
      </c>
      <c r="C267" s="227"/>
      <c r="D267" s="227"/>
      <c r="E267" s="310">
        <f>269000+471500+177780.49</f>
        <v>918280.49</v>
      </c>
      <c r="F267" s="310">
        <f>226000+471500+177780.49</f>
        <v>875280.49</v>
      </c>
      <c r="G267" s="310">
        <v>43000</v>
      </c>
      <c r="H267" s="306">
        <f>E267-F267-G267</f>
        <v>0</v>
      </c>
      <c r="K267" s="262"/>
    </row>
    <row r="268" spans="1:11" s="261" customFormat="1" ht="21">
      <c r="A268" s="227"/>
      <c r="B268" s="314" t="s">
        <v>230</v>
      </c>
      <c r="C268" s="227"/>
      <c r="D268" s="227"/>
      <c r="E268" s="310"/>
      <c r="F268" s="310"/>
      <c r="G268" s="310"/>
      <c r="H268" s="310"/>
      <c r="K268" s="262"/>
    </row>
    <row r="269" spans="1:11" s="261" customFormat="1" ht="21.75" thickBot="1">
      <c r="A269" s="227"/>
      <c r="B269" s="227"/>
      <c r="C269" s="227"/>
      <c r="D269" s="227"/>
      <c r="E269" s="310"/>
      <c r="F269" s="310"/>
      <c r="G269" s="310"/>
      <c r="H269" s="310"/>
      <c r="K269" s="262"/>
    </row>
    <row r="270" spans="1:11" s="261" customFormat="1" ht="22.5" thickBot="1" thickTop="1">
      <c r="A270" s="313">
        <v>2</v>
      </c>
      <c r="B270" s="227" t="s">
        <v>232</v>
      </c>
      <c r="C270" s="227"/>
      <c r="D270" s="227"/>
      <c r="E270" s="310">
        <f>27320+25440</f>
        <v>52760</v>
      </c>
      <c r="F270" s="310">
        <f>27320+25440</f>
        <v>52760</v>
      </c>
      <c r="G270" s="310">
        <f>G272</f>
        <v>0</v>
      </c>
      <c r="H270" s="306">
        <f>E270-F270-G270</f>
        <v>0</v>
      </c>
      <c r="K270" s="262"/>
    </row>
    <row r="271" spans="1:11" s="261" customFormat="1" ht="21">
      <c r="A271" s="227"/>
      <c r="B271" s="227" t="s">
        <v>233</v>
      </c>
      <c r="C271" s="227"/>
      <c r="D271" s="227"/>
      <c r="E271" s="310"/>
      <c r="F271" s="310"/>
      <c r="G271" s="310"/>
      <c r="H271" s="310"/>
      <c r="K271" s="262"/>
    </row>
    <row r="272" spans="1:11" s="261" customFormat="1" ht="21">
      <c r="A272" s="227"/>
      <c r="B272" s="227"/>
      <c r="C272" s="227"/>
      <c r="D272" s="227"/>
      <c r="E272" s="310"/>
      <c r="F272" s="310"/>
      <c r="G272" s="310"/>
      <c r="H272" s="310"/>
      <c r="K272" s="262"/>
    </row>
    <row r="273" spans="1:11" s="261" customFormat="1" ht="21.75" thickBot="1">
      <c r="A273" s="227"/>
      <c r="B273" s="227" t="s">
        <v>106</v>
      </c>
      <c r="C273" s="227"/>
      <c r="D273" s="227"/>
      <c r="E273" s="310"/>
      <c r="F273" s="310"/>
      <c r="G273" s="310"/>
      <c r="H273" s="310"/>
      <c r="K273" s="262"/>
    </row>
    <row r="274" spans="1:11" s="261" customFormat="1" ht="22.5" thickBot="1" thickTop="1">
      <c r="A274" s="227"/>
      <c r="B274" s="227" t="s">
        <v>107</v>
      </c>
      <c r="C274" s="227"/>
      <c r="D274" s="227"/>
      <c r="E274" s="310">
        <v>2495000</v>
      </c>
      <c r="F274" s="310">
        <v>2495000</v>
      </c>
      <c r="G274" s="310">
        <v>0</v>
      </c>
      <c r="H274" s="306">
        <f>E274-F274-G274</f>
        <v>0</v>
      </c>
      <c r="K274" s="262"/>
    </row>
    <row r="275" spans="1:11" s="261" customFormat="1" ht="22.5" thickBot="1" thickTop="1">
      <c r="A275" s="227"/>
      <c r="B275" s="227" t="s">
        <v>108</v>
      </c>
      <c r="C275" s="227"/>
      <c r="D275" s="227"/>
      <c r="E275" s="310">
        <v>1000000</v>
      </c>
      <c r="F275" s="310">
        <v>1000000</v>
      </c>
      <c r="G275" s="310">
        <v>0</v>
      </c>
      <c r="H275" s="306">
        <f>E275-F275-G275</f>
        <v>0</v>
      </c>
      <c r="K275" s="262"/>
    </row>
    <row r="276" spans="1:11" s="183" customFormat="1" ht="21">
      <c r="A276" s="300"/>
      <c r="B276" s="300"/>
      <c r="C276" s="300"/>
      <c r="D276" s="300"/>
      <c r="E276" s="302"/>
      <c r="F276" s="302"/>
      <c r="G276" s="302"/>
      <c r="H276" s="318"/>
      <c r="K276" s="192"/>
    </row>
    <row r="277" spans="1:8" ht="21">
      <c r="A277" s="133"/>
      <c r="B277" s="133"/>
      <c r="C277" s="133"/>
      <c r="D277" s="133"/>
      <c r="E277" s="142"/>
      <c r="F277" s="142"/>
      <c r="G277" s="142"/>
      <c r="H277" s="142"/>
    </row>
    <row r="278" spans="1:8" ht="21.75" thickBot="1">
      <c r="A278" s="133"/>
      <c r="B278" s="347" t="s">
        <v>338</v>
      </c>
      <c r="C278" s="133"/>
      <c r="D278" s="133"/>
      <c r="E278" s="142"/>
      <c r="F278" s="142"/>
      <c r="G278" s="142"/>
      <c r="H278" s="142"/>
    </row>
    <row r="279" spans="1:8" ht="22.5" thickBot="1" thickTop="1">
      <c r="A279" s="133"/>
      <c r="B279" s="133" t="s">
        <v>235</v>
      </c>
      <c r="C279" s="133"/>
      <c r="D279" s="133"/>
      <c r="E279" s="142">
        <f>999000+1598000+3500000</f>
        <v>6097000</v>
      </c>
      <c r="F279" s="142">
        <f>995000+1593000+3498000</f>
        <v>6086000</v>
      </c>
      <c r="G279" s="349">
        <v>11000</v>
      </c>
      <c r="H279" s="348">
        <f>E279-F279-G279</f>
        <v>0</v>
      </c>
    </row>
    <row r="280" spans="1:8" ht="21">
      <c r="A280" s="133"/>
      <c r="B280" s="133"/>
      <c r="C280" s="133"/>
      <c r="D280" s="133"/>
      <c r="E280" s="142"/>
      <c r="F280" s="142"/>
      <c r="G280" s="142"/>
      <c r="H280" s="142"/>
    </row>
    <row r="281" spans="1:8" ht="21">
      <c r="A281" s="133"/>
      <c r="B281" s="133"/>
      <c r="C281" s="133"/>
      <c r="D281" s="133"/>
      <c r="E281" s="142"/>
      <c r="F281" s="142"/>
      <c r="G281" s="142"/>
      <c r="H281" s="142"/>
    </row>
    <row r="282" spans="1:11" s="261" customFormat="1" ht="21.75" thickBot="1">
      <c r="A282" s="227"/>
      <c r="B282" s="227" t="s">
        <v>279</v>
      </c>
      <c r="C282" s="227"/>
      <c r="D282" s="227"/>
      <c r="E282" s="310"/>
      <c r="F282" s="310"/>
      <c r="G282" s="310"/>
      <c r="H282" s="310"/>
      <c r="K282" s="262"/>
    </row>
    <row r="283" spans="1:11" s="261" customFormat="1" ht="22.5" thickBot="1" thickTop="1">
      <c r="A283" s="313">
        <v>1</v>
      </c>
      <c r="B283" s="317" t="s">
        <v>280</v>
      </c>
      <c r="C283" s="227"/>
      <c r="D283" s="227"/>
      <c r="E283" s="310">
        <v>1963260</v>
      </c>
      <c r="F283" s="310">
        <f>242360+42064.52+242359.99+242360</f>
        <v>769144.51</v>
      </c>
      <c r="G283" s="310">
        <v>0</v>
      </c>
      <c r="H283" s="306">
        <f>E283-F283-G283</f>
        <v>1194115.49</v>
      </c>
      <c r="K283" s="262"/>
    </row>
    <row r="284" spans="1:11" s="261" customFormat="1" ht="22.5" thickBot="1" thickTop="1">
      <c r="A284" s="313">
        <v>2</v>
      </c>
      <c r="B284" s="314" t="s">
        <v>281</v>
      </c>
      <c r="C284" s="227"/>
      <c r="D284" s="227"/>
      <c r="E284" s="310">
        <v>29250</v>
      </c>
      <c r="F284" s="310">
        <f>3750+1500+750+750</f>
        <v>6750</v>
      </c>
      <c r="G284" s="310">
        <v>0</v>
      </c>
      <c r="H284" s="306">
        <f>E284-F284-G284</f>
        <v>22500</v>
      </c>
      <c r="K284" s="262"/>
    </row>
    <row r="285" spans="1:8" ht="22.5" thickBot="1" thickTop="1">
      <c r="A285" s="313">
        <v>3</v>
      </c>
      <c r="B285" s="314" t="s">
        <v>282</v>
      </c>
      <c r="C285" s="227"/>
      <c r="D285" s="227"/>
      <c r="E285" s="310">
        <v>1560</v>
      </c>
      <c r="F285" s="310">
        <v>0</v>
      </c>
      <c r="G285" s="310">
        <v>0</v>
      </c>
      <c r="H285" s="306">
        <f>E285-F285-G285</f>
        <v>1560</v>
      </c>
    </row>
    <row r="286" spans="5:8" ht="21">
      <c r="E286" s="64">
        <f>SUM(E283:E285)</f>
        <v>1994070</v>
      </c>
      <c r="F286" s="64">
        <f>SUM(F283:F285)</f>
        <v>775894.51</v>
      </c>
      <c r="G286" s="64">
        <f>SUM(G283:G285)</f>
        <v>0</v>
      </c>
      <c r="H286" s="64">
        <f>SUM(H283:H285)</f>
        <v>1218175.49</v>
      </c>
    </row>
    <row r="287" spans="6:8" ht="21">
      <c r="F287" s="64">
        <f>F286*100/E286</f>
        <v>38.910093928498</v>
      </c>
      <c r="H287" s="64">
        <f>H286*100/E286</f>
        <v>61.089906071502</v>
      </c>
    </row>
    <row r="288" spans="1:11" s="183" customFormat="1" ht="21.75" thickBot="1">
      <c r="A288" s="300"/>
      <c r="B288" s="301" t="s">
        <v>395</v>
      </c>
      <c r="C288" s="300"/>
      <c r="D288" s="300"/>
      <c r="E288" s="302"/>
      <c r="F288" s="302"/>
      <c r="G288" s="302"/>
      <c r="H288" s="302"/>
      <c r="K288" s="192"/>
    </row>
    <row r="289" spans="1:11" s="227" customFormat="1" ht="22.5" thickBot="1" thickTop="1">
      <c r="A289" s="303">
        <v>1</v>
      </c>
      <c r="B289" s="224" t="s">
        <v>16</v>
      </c>
      <c r="C289" s="224"/>
      <c r="D289" s="224"/>
      <c r="E289" s="304">
        <f>9210900+5645020+4069794</f>
        <v>18925714</v>
      </c>
      <c r="F289" s="304">
        <f>6698645.16+1670375+17500+1688112.9+3500+1685600+6964.29+1690709.68+1644733.33</f>
        <v>15106140.36</v>
      </c>
      <c r="G289" s="305"/>
      <c r="H289" s="132">
        <f>E289-F289-G289</f>
        <v>3819573.6400000006</v>
      </c>
      <c r="K289" s="228"/>
    </row>
    <row r="290" spans="1:11" s="227" customFormat="1" ht="22.5" thickBot="1" thickTop="1">
      <c r="A290" s="240">
        <v>2</v>
      </c>
      <c r="B290" s="231" t="s">
        <v>104</v>
      </c>
      <c r="C290" s="231"/>
      <c r="D290" s="231"/>
      <c r="E290" s="307">
        <f>143364+14604+70327</f>
        <v>228295</v>
      </c>
      <c r="F290" s="307">
        <f>113956+24519+23769+4910+2130+4893+4893</f>
        <v>179070</v>
      </c>
      <c r="G290" s="307"/>
      <c r="H290" s="132">
        <f aca="true" t="shared" si="9" ref="H290:H298">E290-F290-G290</f>
        <v>49225</v>
      </c>
      <c r="K290" s="228"/>
    </row>
    <row r="291" spans="1:11" s="227" customFormat="1" ht="22.5" thickBot="1" thickTop="1">
      <c r="A291" s="303">
        <v>3</v>
      </c>
      <c r="B291" s="234" t="s">
        <v>32</v>
      </c>
      <c r="C291" s="234"/>
      <c r="D291" s="234"/>
      <c r="E291" s="308">
        <f>5000+17500</f>
        <v>22500</v>
      </c>
      <c r="F291" s="308">
        <f>5000+12500+2500+2500</f>
        <v>22500</v>
      </c>
      <c r="G291" s="309"/>
      <c r="H291" s="132">
        <f t="shared" si="9"/>
        <v>0</v>
      </c>
      <c r="K291" s="228"/>
    </row>
    <row r="292" spans="1:11" s="227" customFormat="1" ht="22.5" thickBot="1" thickTop="1">
      <c r="A292" s="240">
        <v>4</v>
      </c>
      <c r="B292" s="234" t="s">
        <v>34</v>
      </c>
      <c r="C292" s="236"/>
      <c r="D292" s="236"/>
      <c r="E292" s="310">
        <f>1792433+847836+847835</f>
        <v>3488104</v>
      </c>
      <c r="F292" s="310">
        <f>1792433+847836+847835</f>
        <v>3488104</v>
      </c>
      <c r="G292" s="310"/>
      <c r="H292" s="306">
        <f t="shared" si="9"/>
        <v>0</v>
      </c>
      <c r="I292" s="238"/>
      <c r="J292" s="238"/>
      <c r="K292" s="239"/>
    </row>
    <row r="293" spans="1:11" s="227" customFormat="1" ht="22.5" thickBot="1" thickTop="1">
      <c r="A293" s="303">
        <v>5</v>
      </c>
      <c r="B293" s="234" t="s">
        <v>11</v>
      </c>
      <c r="C293" s="234"/>
      <c r="D293" s="234"/>
      <c r="E293" s="308">
        <f>57000+36000</f>
        <v>93000</v>
      </c>
      <c r="F293" s="308">
        <f>30000+6000+24000</f>
        <v>60000</v>
      </c>
      <c r="G293" s="309">
        <v>21000</v>
      </c>
      <c r="H293" s="306">
        <f t="shared" si="9"/>
        <v>12000</v>
      </c>
      <c r="I293" s="238">
        <f>SUM(E289:E293)</f>
        <v>22757613</v>
      </c>
      <c r="J293" s="238">
        <f>SUM(F289:F293)</f>
        <v>18855814.36</v>
      </c>
      <c r="K293" s="238">
        <f>SUM(H289:H293)</f>
        <v>3880798.6400000006</v>
      </c>
    </row>
    <row r="294" spans="1:11" s="227" customFormat="1" ht="22.5" thickBot="1" thickTop="1">
      <c r="A294" s="240">
        <v>6</v>
      </c>
      <c r="B294" s="234" t="s">
        <v>33</v>
      </c>
      <c r="C294" s="236"/>
      <c r="D294" s="236"/>
      <c r="E294" s="241">
        <f>454700+119000</f>
        <v>573700</v>
      </c>
      <c r="F294" s="242">
        <f>440250+13200+120150</f>
        <v>573600</v>
      </c>
      <c r="G294" s="284"/>
      <c r="H294" s="306">
        <f t="shared" si="9"/>
        <v>100</v>
      </c>
      <c r="I294" s="243"/>
      <c r="J294" s="243"/>
      <c r="K294" s="244"/>
    </row>
    <row r="295" spans="1:11" s="227" customFormat="1" ht="22.5" thickBot="1" thickTop="1">
      <c r="A295" s="240">
        <v>7</v>
      </c>
      <c r="B295" s="234" t="s">
        <v>59</v>
      </c>
      <c r="C295" s="236"/>
      <c r="D295" s="236"/>
      <c r="E295" s="241"/>
      <c r="F295" s="242"/>
      <c r="G295" s="284"/>
      <c r="H295" s="306">
        <f t="shared" si="9"/>
        <v>0</v>
      </c>
      <c r="I295" s="243"/>
      <c r="J295" s="243"/>
      <c r="K295" s="243"/>
    </row>
    <row r="296" spans="1:11" s="249" customFormat="1" ht="22.5" thickBot="1" thickTop="1">
      <c r="A296" s="303">
        <v>8</v>
      </c>
      <c r="B296" s="234" t="s">
        <v>182</v>
      </c>
      <c r="C296" s="234"/>
      <c r="D296" s="234"/>
      <c r="E296" s="319">
        <f>1876900+233250</f>
        <v>2110150</v>
      </c>
      <c r="F296" s="319">
        <v>0</v>
      </c>
      <c r="G296" s="284"/>
      <c r="H296" s="321">
        <f t="shared" si="9"/>
        <v>2110150</v>
      </c>
      <c r="I296" s="227"/>
      <c r="K296" s="250"/>
    </row>
    <row r="297" spans="1:11" s="249" customFormat="1" ht="22.5" thickBot="1" thickTop="1">
      <c r="A297" s="303">
        <v>9</v>
      </c>
      <c r="B297" s="234" t="s">
        <v>65</v>
      </c>
      <c r="C297" s="236"/>
      <c r="D297" s="236"/>
      <c r="E297" s="311"/>
      <c r="F297" s="242"/>
      <c r="G297" s="284"/>
      <c r="H297" s="306">
        <f t="shared" si="9"/>
        <v>0</v>
      </c>
      <c r="I297" s="243"/>
      <c r="J297" s="255"/>
      <c r="K297" s="256"/>
    </row>
    <row r="298" spans="1:11" s="249" customFormat="1" ht="22.5" thickBot="1" thickTop="1">
      <c r="A298" s="312">
        <v>10</v>
      </c>
      <c r="B298" s="234" t="s">
        <v>154</v>
      </c>
      <c r="C298" s="234"/>
      <c r="D298" s="234"/>
      <c r="E298" s="242">
        <f>53100+8000</f>
        <v>61100</v>
      </c>
      <c r="F298" s="242">
        <f>1000+12800+16770+10800+4980+930+4935+680</f>
        <v>52895</v>
      </c>
      <c r="G298" s="284"/>
      <c r="H298" s="306">
        <f t="shared" si="9"/>
        <v>8205</v>
      </c>
      <c r="I298" s="227"/>
      <c r="K298" s="250"/>
    </row>
    <row r="299" spans="1:15" s="249" customFormat="1" ht="22.5" thickBot="1" thickTop="1">
      <c r="A299" s="312">
        <v>11</v>
      </c>
      <c r="B299" s="234" t="s">
        <v>156</v>
      </c>
      <c r="C299" s="234"/>
      <c r="D299" s="234"/>
      <c r="E299" s="319">
        <v>8350</v>
      </c>
      <c r="F299" s="319">
        <f>1900+420</f>
        <v>2320</v>
      </c>
      <c r="G299" s="284"/>
      <c r="H299" s="320">
        <f>E299-F299-G299</f>
        <v>6030</v>
      </c>
      <c r="I299" s="294">
        <f>SUM(E299:E299)</f>
        <v>8350</v>
      </c>
      <c r="J299" s="238">
        <f>SUM(F298:F299)</f>
        <v>55215</v>
      </c>
      <c r="K299" s="238">
        <f>SUM(H299:H299)</f>
        <v>6030</v>
      </c>
      <c r="L299" s="266">
        <f>E289+E290+E291+E292++E293+E294+E296+E298+E299</f>
        <v>25510913</v>
      </c>
      <c r="M299" s="266">
        <f>F289+F290+F291+F292++F293+F294+F296+F298+F299</f>
        <v>19484629.36</v>
      </c>
      <c r="N299" s="266">
        <f>G289+G290+G291+G292++G293+G294+G296+G298+G299</f>
        <v>21000</v>
      </c>
      <c r="O299" s="266">
        <f>H289+H290+H291+H292++H293+H294+H296+H298+H299</f>
        <v>6005283.640000001</v>
      </c>
    </row>
    <row r="300" spans="1:15" s="249" customFormat="1" ht="22.5" thickBot="1" thickTop="1">
      <c r="A300" s="312">
        <v>12</v>
      </c>
      <c r="B300" s="234" t="s">
        <v>306</v>
      </c>
      <c r="C300" s="234"/>
      <c r="D300" s="234"/>
      <c r="E300" s="319">
        <v>5000</v>
      </c>
      <c r="F300" s="319">
        <v>0</v>
      </c>
      <c r="G300" s="284"/>
      <c r="H300" s="320">
        <f>E300-F300-G300</f>
        <v>5000</v>
      </c>
      <c r="I300" s="266"/>
      <c r="J300" s="238"/>
      <c r="K300" s="238"/>
      <c r="L300" s="266"/>
      <c r="M300" s="266"/>
      <c r="N300" s="266"/>
      <c r="O300" s="266"/>
    </row>
    <row r="301" spans="1:11" s="249" customFormat="1" ht="21.75" thickBot="1">
      <c r="A301" s="315"/>
      <c r="B301" s="316" t="s">
        <v>35</v>
      </c>
      <c r="C301" s="316"/>
      <c r="D301" s="316"/>
      <c r="E301" s="242">
        <f>SUM(E289:E300)</f>
        <v>25515913</v>
      </c>
      <c r="F301" s="242">
        <f>SUM(F289:F300)</f>
        <v>19484629.36</v>
      </c>
      <c r="G301" s="242">
        <f>SUM(G289:G300)</f>
        <v>21000</v>
      </c>
      <c r="H301" s="242">
        <f>SUM(H289:H300)</f>
        <v>6010283.640000001</v>
      </c>
      <c r="K301" s="250"/>
    </row>
    <row r="302" spans="1:11" s="249" customFormat="1" ht="21.75" thickBot="1">
      <c r="A302" s="315"/>
      <c r="B302" s="316" t="s">
        <v>36</v>
      </c>
      <c r="C302" s="316"/>
      <c r="D302" s="316"/>
      <c r="E302" s="242"/>
      <c r="F302" s="242"/>
      <c r="G302" s="242">
        <f>(F301+G301)*100/E301</f>
        <v>76.44495950429052</v>
      </c>
      <c r="H302" s="242"/>
      <c r="I302" s="341">
        <f>F301+G301</f>
        <v>19505629.36</v>
      </c>
      <c r="K302" s="250"/>
    </row>
    <row r="303" spans="1:11" s="249" customFormat="1" ht="21.75" thickBot="1">
      <c r="A303" s="342"/>
      <c r="B303" s="343"/>
      <c r="C303" s="343"/>
      <c r="D303" s="343"/>
      <c r="E303" s="344"/>
      <c r="F303" s="344"/>
      <c r="G303" s="344"/>
      <c r="H303" s="284"/>
      <c r="I303" s="294"/>
      <c r="K303" s="250"/>
    </row>
    <row r="304" spans="1:11" s="249" customFormat="1" ht="21.75" thickBot="1">
      <c r="A304" s="342"/>
      <c r="B304" s="346" t="s">
        <v>337</v>
      </c>
      <c r="C304" s="343"/>
      <c r="D304" s="343"/>
      <c r="E304" s="344"/>
      <c r="F304" s="344"/>
      <c r="G304" s="344"/>
      <c r="H304" s="284"/>
      <c r="I304" s="294"/>
      <c r="K304" s="250"/>
    </row>
    <row r="305" spans="1:11" s="261" customFormat="1" ht="22.5" thickBot="1" thickTop="1">
      <c r="A305" s="313">
        <v>1</v>
      </c>
      <c r="B305" s="314" t="s">
        <v>101</v>
      </c>
      <c r="C305" s="227"/>
      <c r="D305" s="227"/>
      <c r="E305" s="310">
        <v>55000</v>
      </c>
      <c r="F305" s="310">
        <v>55000</v>
      </c>
      <c r="G305" s="310"/>
      <c r="H305" s="132">
        <f>E305-F305-G305</f>
        <v>0</v>
      </c>
      <c r="I305" s="227"/>
      <c r="K305" s="262"/>
    </row>
    <row r="306" spans="1:11" s="261" customFormat="1" ht="22.5" thickBot="1" thickTop="1">
      <c r="A306" s="227"/>
      <c r="B306" s="227" t="s">
        <v>102</v>
      </c>
      <c r="C306" s="227"/>
      <c r="D306" s="227"/>
      <c r="E306" s="310"/>
      <c r="F306" s="310"/>
      <c r="G306" s="310"/>
      <c r="H306" s="132"/>
      <c r="I306" s="227"/>
      <c r="K306" s="262"/>
    </row>
    <row r="307" spans="1:11" s="261" customFormat="1" ht="21">
      <c r="A307" s="227"/>
      <c r="B307" s="227" t="s">
        <v>103</v>
      </c>
      <c r="C307" s="227"/>
      <c r="D307" s="227"/>
      <c r="E307" s="310"/>
      <c r="F307" s="310"/>
      <c r="G307" s="310"/>
      <c r="H307" s="345"/>
      <c r="I307" s="227"/>
      <c r="K307" s="262"/>
    </row>
    <row r="308" spans="1:11" s="261" customFormat="1" ht="21">
      <c r="A308" s="227"/>
      <c r="B308" s="227"/>
      <c r="C308" s="227"/>
      <c r="D308" s="227"/>
      <c r="E308" s="310"/>
      <c r="F308" s="310"/>
      <c r="G308" s="310"/>
      <c r="H308" s="345"/>
      <c r="I308" s="227"/>
      <c r="K308" s="262"/>
    </row>
    <row r="309" spans="1:11" s="261" customFormat="1" ht="21.75" thickBot="1">
      <c r="A309" s="227"/>
      <c r="B309" s="227" t="s">
        <v>376</v>
      </c>
      <c r="C309" s="227"/>
      <c r="D309" s="227"/>
      <c r="E309" s="310"/>
      <c r="F309" s="310"/>
      <c r="G309" s="310"/>
      <c r="H309" s="310"/>
      <c r="K309" s="262"/>
    </row>
    <row r="310" spans="1:11" s="261" customFormat="1" ht="22.5" thickBot="1" thickTop="1">
      <c r="A310" s="313">
        <v>1</v>
      </c>
      <c r="B310" s="317" t="s">
        <v>95</v>
      </c>
      <c r="C310" s="227"/>
      <c r="D310" s="227"/>
      <c r="E310" s="310">
        <f>269000+471500+177780.49</f>
        <v>918280.49</v>
      </c>
      <c r="F310" s="310">
        <f>226000+471500+177780.49</f>
        <v>875280.49</v>
      </c>
      <c r="G310" s="310">
        <v>43000</v>
      </c>
      <c r="H310" s="306">
        <f>E310-F310-G310</f>
        <v>0</v>
      </c>
      <c r="K310" s="262"/>
    </row>
    <row r="311" spans="1:11" s="261" customFormat="1" ht="21">
      <c r="A311" s="227"/>
      <c r="B311" s="314" t="s">
        <v>230</v>
      </c>
      <c r="C311" s="227"/>
      <c r="D311" s="227"/>
      <c r="E311" s="310"/>
      <c r="F311" s="310"/>
      <c r="G311" s="310"/>
      <c r="H311" s="310"/>
      <c r="K311" s="262"/>
    </row>
    <row r="312" spans="1:11" s="261" customFormat="1" ht="21.75" thickBot="1">
      <c r="A312" s="227"/>
      <c r="B312" s="227"/>
      <c r="C312" s="227"/>
      <c r="D312" s="227"/>
      <c r="E312" s="310"/>
      <c r="F312" s="310"/>
      <c r="G312" s="310"/>
      <c r="H312" s="310"/>
      <c r="K312" s="262"/>
    </row>
    <row r="313" spans="1:11" s="261" customFormat="1" ht="22.5" thickBot="1" thickTop="1">
      <c r="A313" s="313">
        <v>2</v>
      </c>
      <c r="B313" s="227" t="s">
        <v>232</v>
      </c>
      <c r="C313" s="227"/>
      <c r="D313" s="227"/>
      <c r="E313" s="310">
        <f>27320+25440</f>
        <v>52760</v>
      </c>
      <c r="F313" s="310">
        <f>27320+25440</f>
        <v>52760</v>
      </c>
      <c r="G313" s="310">
        <f>G315</f>
        <v>0</v>
      </c>
      <c r="H313" s="306">
        <f>E313-F313-G313</f>
        <v>0</v>
      </c>
      <c r="K313" s="262"/>
    </row>
    <row r="314" spans="1:11" s="261" customFormat="1" ht="21">
      <c r="A314" s="227"/>
      <c r="B314" s="227" t="s">
        <v>233</v>
      </c>
      <c r="C314" s="227"/>
      <c r="D314" s="227"/>
      <c r="E314" s="310"/>
      <c r="F314" s="310"/>
      <c r="G314" s="310"/>
      <c r="H314" s="310"/>
      <c r="K314" s="262"/>
    </row>
    <row r="315" spans="1:11" s="261" customFormat="1" ht="21">
      <c r="A315" s="227"/>
      <c r="B315" s="227"/>
      <c r="C315" s="227"/>
      <c r="D315" s="227"/>
      <c r="E315" s="310"/>
      <c r="F315" s="310"/>
      <c r="G315" s="310"/>
      <c r="H315" s="310"/>
      <c r="K315" s="262"/>
    </row>
    <row r="316" spans="1:11" s="261" customFormat="1" ht="21.75" thickBot="1">
      <c r="A316" s="227"/>
      <c r="B316" s="227" t="s">
        <v>106</v>
      </c>
      <c r="C316" s="227"/>
      <c r="D316" s="227"/>
      <c r="E316" s="310"/>
      <c r="F316" s="310"/>
      <c r="G316" s="310"/>
      <c r="H316" s="310"/>
      <c r="K316" s="262"/>
    </row>
    <row r="317" spans="1:11" s="261" customFormat="1" ht="22.5" thickBot="1" thickTop="1">
      <c r="A317" s="227"/>
      <c r="B317" s="227" t="s">
        <v>107</v>
      </c>
      <c r="C317" s="227"/>
      <c r="D317" s="227"/>
      <c r="E317" s="310">
        <v>2495000</v>
      </c>
      <c r="F317" s="310">
        <v>2495000</v>
      </c>
      <c r="G317" s="310">
        <v>0</v>
      </c>
      <c r="H317" s="306">
        <f>E317-F317-G317</f>
        <v>0</v>
      </c>
      <c r="K317" s="262"/>
    </row>
    <row r="318" spans="1:11" s="261" customFormat="1" ht="22.5" thickBot="1" thickTop="1">
      <c r="A318" s="227"/>
      <c r="B318" s="227" t="s">
        <v>108</v>
      </c>
      <c r="C318" s="227"/>
      <c r="D318" s="227"/>
      <c r="E318" s="310">
        <v>1000000</v>
      </c>
      <c r="F318" s="310">
        <v>1000000</v>
      </c>
      <c r="G318" s="310">
        <v>0</v>
      </c>
      <c r="H318" s="306">
        <f>E318-F318-G318</f>
        <v>0</v>
      </c>
      <c r="K318" s="262"/>
    </row>
    <row r="319" spans="1:11" s="183" customFormat="1" ht="21">
      <c r="A319" s="300"/>
      <c r="B319" s="300"/>
      <c r="C319" s="300"/>
      <c r="D319" s="300"/>
      <c r="E319" s="302"/>
      <c r="F319" s="302"/>
      <c r="G319" s="302"/>
      <c r="H319" s="318"/>
      <c r="K319" s="192"/>
    </row>
    <row r="320" spans="1:8" ht="21">
      <c r="A320" s="133"/>
      <c r="B320" s="133"/>
      <c r="C320" s="133"/>
      <c r="D320" s="133"/>
      <c r="E320" s="142"/>
      <c r="F320" s="142"/>
      <c r="G320" s="142"/>
      <c r="H320" s="142"/>
    </row>
    <row r="321" spans="1:8" ht="21.75" thickBot="1">
      <c r="A321" s="133"/>
      <c r="B321" s="347" t="s">
        <v>338</v>
      </c>
      <c r="C321" s="133"/>
      <c r="D321" s="133"/>
      <c r="E321" s="142"/>
      <c r="F321" s="142"/>
      <c r="G321" s="142"/>
      <c r="H321" s="142"/>
    </row>
    <row r="322" spans="1:8" ht="22.5" thickBot="1" thickTop="1">
      <c r="A322" s="133"/>
      <c r="B322" s="133" t="s">
        <v>235</v>
      </c>
      <c r="C322" s="133"/>
      <c r="D322" s="133"/>
      <c r="E322" s="142">
        <f>999000+1598000+3500000</f>
        <v>6097000</v>
      </c>
      <c r="F322" s="142">
        <f>995000+1593000+3498000</f>
        <v>6086000</v>
      </c>
      <c r="G322" s="349">
        <v>11000</v>
      </c>
      <c r="H322" s="348">
        <f>E322-F322-G322</f>
        <v>0</v>
      </c>
    </row>
    <row r="323" spans="1:8" ht="21">
      <c r="A323" s="133"/>
      <c r="B323" s="133"/>
      <c r="C323" s="133"/>
      <c r="D323" s="133"/>
      <c r="E323" s="142"/>
      <c r="F323" s="142"/>
      <c r="G323" s="142"/>
      <c r="H323" s="142"/>
    </row>
    <row r="324" spans="1:8" ht="21">
      <c r="A324" s="133"/>
      <c r="B324" s="133"/>
      <c r="C324" s="133"/>
      <c r="D324" s="133"/>
      <c r="E324" s="142"/>
      <c r="F324" s="142"/>
      <c r="G324" s="142"/>
      <c r="H324" s="142"/>
    </row>
    <row r="325" spans="1:11" s="261" customFormat="1" ht="21.75" thickBot="1">
      <c r="A325" s="227"/>
      <c r="B325" s="227" t="s">
        <v>279</v>
      </c>
      <c r="C325" s="227"/>
      <c r="D325" s="227"/>
      <c r="E325" s="310"/>
      <c r="F325" s="310"/>
      <c r="G325" s="310"/>
      <c r="H325" s="310"/>
      <c r="K325" s="262"/>
    </row>
    <row r="326" spans="1:11" s="261" customFormat="1" ht="22.5" thickBot="1" thickTop="1">
      <c r="A326" s="313">
        <v>1</v>
      </c>
      <c r="B326" s="317" t="s">
        <v>280</v>
      </c>
      <c r="C326" s="227"/>
      <c r="D326" s="227"/>
      <c r="E326" s="310">
        <v>1963260</v>
      </c>
      <c r="F326" s="310">
        <f>242360+42064.52+242359.99+242360+320860+60000</f>
        <v>1150004.51</v>
      </c>
      <c r="G326" s="310">
        <v>0</v>
      </c>
      <c r="H326" s="306">
        <f>E326-F326-G326</f>
        <v>813255.49</v>
      </c>
      <c r="K326" s="262"/>
    </row>
    <row r="327" spans="1:11" s="261" customFormat="1" ht="22.5" thickBot="1" thickTop="1">
      <c r="A327" s="313">
        <v>2</v>
      </c>
      <c r="B327" s="314" t="s">
        <v>281</v>
      </c>
      <c r="C327" s="227"/>
      <c r="D327" s="227"/>
      <c r="E327" s="310">
        <v>29250</v>
      </c>
      <c r="F327" s="310">
        <f>3750+1500+750+750+1050+450</f>
        <v>8250</v>
      </c>
      <c r="G327" s="310">
        <v>0</v>
      </c>
      <c r="H327" s="306">
        <f>E327-F327-G327</f>
        <v>21000</v>
      </c>
      <c r="K327" s="262"/>
    </row>
    <row r="328" spans="1:8" ht="22.5" thickBot="1" thickTop="1">
      <c r="A328" s="313">
        <v>3</v>
      </c>
      <c r="B328" s="314" t="s">
        <v>282</v>
      </c>
      <c r="C328" s="227"/>
      <c r="D328" s="227"/>
      <c r="E328" s="310">
        <v>1560</v>
      </c>
      <c r="F328" s="310">
        <v>0</v>
      </c>
      <c r="G328" s="310">
        <v>0</v>
      </c>
      <c r="H328" s="306">
        <f>E328-F328-G328</f>
        <v>1560</v>
      </c>
    </row>
    <row r="329" spans="5:8" ht="21">
      <c r="E329" s="64">
        <f>SUM(E326:E328)</f>
        <v>1994070</v>
      </c>
      <c r="F329" s="64">
        <f>SUM(F326:F328)</f>
        <v>1158254.51</v>
      </c>
      <c r="G329" s="64">
        <f>SUM(G326:G328)</f>
        <v>0</v>
      </c>
      <c r="H329" s="64">
        <f>SUM(H326:H328)</f>
        <v>835815.49</v>
      </c>
    </row>
    <row r="330" spans="6:8" ht="21">
      <c r="F330" s="64">
        <f>F329*100/E329</f>
        <v>58.08494736894893</v>
      </c>
      <c r="H330" s="64">
        <f>H329*100/E329</f>
        <v>41.91505263105107</v>
      </c>
    </row>
    <row r="332" spans="1:11" s="183" customFormat="1" ht="21.75" thickBot="1">
      <c r="A332" s="300"/>
      <c r="B332" s="301" t="s">
        <v>419</v>
      </c>
      <c r="C332" s="300"/>
      <c r="D332" s="300"/>
      <c r="E332" s="302"/>
      <c r="F332" s="302"/>
      <c r="G332" s="302"/>
      <c r="H332" s="302"/>
      <c r="K332" s="192"/>
    </row>
    <row r="333" spans="1:11" s="227" customFormat="1" ht="22.5" thickBot="1" thickTop="1">
      <c r="A333" s="303">
        <v>1</v>
      </c>
      <c r="B333" s="224" t="s">
        <v>16</v>
      </c>
      <c r="C333" s="224"/>
      <c r="D333" s="224"/>
      <c r="E333" s="304">
        <f>9210900+5645020+4069794</f>
        <v>18925714</v>
      </c>
      <c r="F333" s="304">
        <f>6698645.16+1670375+17500+1688112.9+3500+1685600+6964.29+1690709.68+1644733.33+1698000+23666.66</f>
        <v>16827807.02</v>
      </c>
      <c r="G333" s="305"/>
      <c r="H333" s="132">
        <f>E333-F333-G333</f>
        <v>2097906.9800000004</v>
      </c>
      <c r="K333" s="228"/>
    </row>
    <row r="334" spans="1:11" s="227" customFormat="1" ht="22.5" thickBot="1" thickTop="1">
      <c r="A334" s="240">
        <v>2</v>
      </c>
      <c r="B334" s="231" t="s">
        <v>104</v>
      </c>
      <c r="C334" s="231"/>
      <c r="D334" s="231"/>
      <c r="E334" s="307">
        <f>143364+14604+70327</f>
        <v>228295</v>
      </c>
      <c r="F334" s="307">
        <f>113956+24519+23769+4910+2130+4893+4893+24466</f>
        <v>203536</v>
      </c>
      <c r="G334" s="307"/>
      <c r="H334" s="132">
        <f aca="true" t="shared" si="10" ref="H334:H342">E334-F334-G334</f>
        <v>24759</v>
      </c>
      <c r="K334" s="228"/>
    </row>
    <row r="335" spans="1:11" s="227" customFormat="1" ht="22.5" thickBot="1" thickTop="1">
      <c r="A335" s="303">
        <v>3</v>
      </c>
      <c r="B335" s="234" t="s">
        <v>32</v>
      </c>
      <c r="C335" s="234"/>
      <c r="D335" s="234"/>
      <c r="E335" s="308">
        <f>5000+17500</f>
        <v>22500</v>
      </c>
      <c r="F335" s="308">
        <f>5000+12500+2500+2500</f>
        <v>22500</v>
      </c>
      <c r="G335" s="309"/>
      <c r="H335" s="132">
        <f t="shared" si="10"/>
        <v>0</v>
      </c>
      <c r="K335" s="228"/>
    </row>
    <row r="336" spans="1:11" s="227" customFormat="1" ht="22.5" thickBot="1" thickTop="1">
      <c r="A336" s="240">
        <v>4</v>
      </c>
      <c r="B336" s="234" t="s">
        <v>34</v>
      </c>
      <c r="C336" s="236"/>
      <c r="D336" s="236"/>
      <c r="E336" s="310">
        <f>1792433+847836+847835</f>
        <v>3488104</v>
      </c>
      <c r="F336" s="310">
        <f>1792433+847836+847835</f>
        <v>3488104</v>
      </c>
      <c r="G336" s="310"/>
      <c r="H336" s="306">
        <f t="shared" si="10"/>
        <v>0</v>
      </c>
      <c r="I336" s="238"/>
      <c r="J336" s="238"/>
      <c r="K336" s="239"/>
    </row>
    <row r="337" spans="1:11" s="227" customFormat="1" ht="22.5" thickBot="1" thickTop="1">
      <c r="A337" s="303">
        <v>5</v>
      </c>
      <c r="B337" s="234" t="s">
        <v>11</v>
      </c>
      <c r="C337" s="234"/>
      <c r="D337" s="234"/>
      <c r="E337" s="308">
        <f>57000+36000</f>
        <v>93000</v>
      </c>
      <c r="F337" s="308">
        <f>30000+6000+24000</f>
        <v>60000</v>
      </c>
      <c r="G337" s="360">
        <v>33000</v>
      </c>
      <c r="H337" s="306">
        <f>E337-F337-G337</f>
        <v>0</v>
      </c>
      <c r="I337" s="238">
        <f>SUM(E333:E337)</f>
        <v>22757613</v>
      </c>
      <c r="J337" s="238">
        <f>SUM(F333:F337)</f>
        <v>20601947.02</v>
      </c>
      <c r="K337" s="356">
        <f>SUM(H333:H337)</f>
        <v>2122665.9800000004</v>
      </c>
    </row>
    <row r="338" spans="1:11" s="227" customFormat="1" ht="22.5" thickBot="1" thickTop="1">
      <c r="A338" s="240">
        <v>6</v>
      </c>
      <c r="B338" s="234" t="s">
        <v>33</v>
      </c>
      <c r="C338" s="236"/>
      <c r="D338" s="236"/>
      <c r="E338" s="241">
        <f>454700+119000+109000</f>
        <v>682700</v>
      </c>
      <c r="F338" s="242">
        <f>440250+13200+120150+101250</f>
        <v>674850</v>
      </c>
      <c r="G338" s="284"/>
      <c r="H338" s="358">
        <f t="shared" si="10"/>
        <v>7850</v>
      </c>
      <c r="I338" s="243"/>
      <c r="J338" s="243"/>
      <c r="K338" s="244"/>
    </row>
    <row r="339" spans="1:11" s="227" customFormat="1" ht="22.5" thickBot="1" thickTop="1">
      <c r="A339" s="240">
        <v>7</v>
      </c>
      <c r="B339" s="234" t="s">
        <v>59</v>
      </c>
      <c r="C339" s="236"/>
      <c r="D339" s="236"/>
      <c r="E339" s="241"/>
      <c r="F339" s="242"/>
      <c r="G339" s="284"/>
      <c r="H339" s="306">
        <f t="shared" si="10"/>
        <v>0</v>
      </c>
      <c r="I339" s="243"/>
      <c r="J339" s="243"/>
      <c r="K339" s="243"/>
    </row>
    <row r="340" spans="1:11" s="249" customFormat="1" ht="22.5" thickBot="1" thickTop="1">
      <c r="A340" s="303">
        <v>8</v>
      </c>
      <c r="B340" s="234" t="s">
        <v>182</v>
      </c>
      <c r="C340" s="234"/>
      <c r="D340" s="234"/>
      <c r="E340" s="319">
        <f>1876900+233250</f>
        <v>2110150</v>
      </c>
      <c r="F340" s="319">
        <v>2110150</v>
      </c>
      <c r="G340" s="284"/>
      <c r="H340" s="321">
        <f>E340-F340-G340</f>
        <v>0</v>
      </c>
      <c r="I340" s="227"/>
      <c r="K340" s="250"/>
    </row>
    <row r="341" spans="1:11" s="249" customFormat="1" ht="22.5" thickBot="1" thickTop="1">
      <c r="A341" s="303">
        <v>9</v>
      </c>
      <c r="B341" s="234" t="s">
        <v>65</v>
      </c>
      <c r="C341" s="236"/>
      <c r="D341" s="236"/>
      <c r="E341" s="311"/>
      <c r="F341" s="242"/>
      <c r="G341" s="284"/>
      <c r="H341" s="306">
        <f t="shared" si="10"/>
        <v>0</v>
      </c>
      <c r="I341" s="243"/>
      <c r="J341" s="255"/>
      <c r="K341" s="256"/>
    </row>
    <row r="342" spans="1:11" s="249" customFormat="1" ht="22.5" thickBot="1" thickTop="1">
      <c r="A342" s="312">
        <v>10</v>
      </c>
      <c r="B342" s="234" t="s">
        <v>154</v>
      </c>
      <c r="C342" s="234"/>
      <c r="D342" s="234"/>
      <c r="E342" s="242">
        <f>53100+8000+62000</f>
        <v>123100</v>
      </c>
      <c r="F342" s="242">
        <f>1000+12800+16770+10800+4980+930+4935+680</f>
        <v>52895</v>
      </c>
      <c r="G342" s="284"/>
      <c r="H342" s="358">
        <f t="shared" si="10"/>
        <v>70205</v>
      </c>
      <c r="I342" s="227"/>
      <c r="K342" s="250"/>
    </row>
    <row r="343" spans="1:15" s="249" customFormat="1" ht="22.5" thickBot="1" thickTop="1">
      <c r="A343" s="312">
        <v>11</v>
      </c>
      <c r="B343" s="234" t="s">
        <v>156</v>
      </c>
      <c r="C343" s="234"/>
      <c r="D343" s="234"/>
      <c r="E343" s="319">
        <v>8350</v>
      </c>
      <c r="F343" s="319">
        <f>1900+420+6000</f>
        <v>8320</v>
      </c>
      <c r="G343" s="361">
        <v>30</v>
      </c>
      <c r="H343" s="357">
        <f>E343-F343-G343</f>
        <v>0</v>
      </c>
      <c r="I343" s="294">
        <f>SUM(E343:E343)</f>
        <v>8350</v>
      </c>
      <c r="J343" s="238">
        <f>SUM(F342:F343)</f>
        <v>61215</v>
      </c>
      <c r="K343" s="238">
        <f>SUM(H343:H343)</f>
        <v>0</v>
      </c>
      <c r="L343" s="266">
        <f>E333+E334+E335+E336++E337+E338+E340+E342+E343</f>
        <v>25681913</v>
      </c>
      <c r="M343" s="266">
        <f>F333+F334+F335+F336++F337+F338+F340+F342+F343</f>
        <v>23448162.02</v>
      </c>
      <c r="N343" s="266">
        <f>G333+G334+G335+G336++G337+G338+G340+G342+G343</f>
        <v>33030</v>
      </c>
      <c r="O343" s="266">
        <f>H333+H334+H335+H336++H337+H338+H340+H342+H343</f>
        <v>2200720.9800000004</v>
      </c>
    </row>
    <row r="344" spans="1:15" s="249" customFormat="1" ht="22.5" thickBot="1" thickTop="1">
      <c r="A344" s="312">
        <v>12</v>
      </c>
      <c r="B344" s="234" t="s">
        <v>306</v>
      </c>
      <c r="C344" s="234"/>
      <c r="D344" s="234"/>
      <c r="E344" s="319">
        <f>5000+2400</f>
        <v>7400</v>
      </c>
      <c r="F344" s="319">
        <v>0</v>
      </c>
      <c r="G344" s="284"/>
      <c r="H344" s="357">
        <f>E344-F344-G344</f>
        <v>7400</v>
      </c>
      <c r="I344" s="266"/>
      <c r="J344" s="238"/>
      <c r="K344" s="238"/>
      <c r="L344" s="266"/>
      <c r="M344" s="266"/>
      <c r="N344" s="266"/>
      <c r="O344" s="266"/>
    </row>
    <row r="345" spans="1:11" s="249" customFormat="1" ht="21.75" thickBot="1">
      <c r="A345" s="315"/>
      <c r="B345" s="316" t="s">
        <v>35</v>
      </c>
      <c r="C345" s="316"/>
      <c r="D345" s="316"/>
      <c r="E345" s="242">
        <f>SUM(E333:E344)</f>
        <v>25689313</v>
      </c>
      <c r="F345" s="242">
        <f>SUM(F333:F344)</f>
        <v>23448162.02</v>
      </c>
      <c r="G345" s="242">
        <f>SUM(G333:G344)</f>
        <v>33030</v>
      </c>
      <c r="H345" s="242">
        <f>SUM(H333:H344)</f>
        <v>2208120.9800000004</v>
      </c>
      <c r="K345" s="250"/>
    </row>
    <row r="346" spans="1:11" s="249" customFormat="1" ht="21.75" thickBot="1">
      <c r="A346" s="315"/>
      <c r="B346" s="316" t="s">
        <v>36</v>
      </c>
      <c r="C346" s="316"/>
      <c r="D346" s="316"/>
      <c r="E346" s="242"/>
      <c r="F346" s="242"/>
      <c r="G346" s="242">
        <f>(F345+G345)*100/E345</f>
        <v>91.4045152550401</v>
      </c>
      <c r="H346" s="242">
        <v>8.64</v>
      </c>
      <c r="I346" s="341">
        <f>F345+G345</f>
        <v>23481192.02</v>
      </c>
      <c r="K346" s="250"/>
    </row>
    <row r="347" spans="1:11" s="249" customFormat="1" ht="21.75" thickBot="1">
      <c r="A347" s="342"/>
      <c r="B347" s="343"/>
      <c r="C347" s="343"/>
      <c r="D347" s="343"/>
      <c r="E347" s="344"/>
      <c r="F347" s="344"/>
      <c r="G347" s="344"/>
      <c r="H347" s="284"/>
      <c r="I347" s="294">
        <f>H345*100/E345</f>
        <v>8.5954847449599</v>
      </c>
      <c r="K347" s="250"/>
    </row>
    <row r="348" spans="1:12" s="249" customFormat="1" ht="21.75" thickBot="1">
      <c r="A348" s="342"/>
      <c r="B348" s="346" t="s">
        <v>337</v>
      </c>
      <c r="C348" s="343"/>
      <c r="D348" s="343"/>
      <c r="E348" s="344"/>
      <c r="F348" s="344"/>
      <c r="G348" s="344"/>
      <c r="H348" s="284"/>
      <c r="I348" s="294"/>
      <c r="K348" s="250"/>
      <c r="L348" s="249">
        <v>2242097.67</v>
      </c>
    </row>
    <row r="349" spans="1:12" s="261" customFormat="1" ht="22.5" thickBot="1" thickTop="1">
      <c r="A349" s="313">
        <v>1</v>
      </c>
      <c r="B349" s="314" t="s">
        <v>101</v>
      </c>
      <c r="C349" s="227"/>
      <c r="D349" s="227"/>
      <c r="E349" s="310">
        <v>55000</v>
      </c>
      <c r="F349" s="310">
        <v>55000</v>
      </c>
      <c r="G349" s="310"/>
      <c r="H349" s="132">
        <f>E349-F349-G349</f>
        <v>0</v>
      </c>
      <c r="I349" s="227"/>
      <c r="K349" s="262"/>
      <c r="L349" s="261">
        <v>2220150.98</v>
      </c>
    </row>
    <row r="350" spans="1:12" s="261" customFormat="1" ht="22.5" thickBot="1" thickTop="1">
      <c r="A350" s="227"/>
      <c r="B350" s="227" t="s">
        <v>102</v>
      </c>
      <c r="C350" s="227"/>
      <c r="D350" s="227"/>
      <c r="E350" s="310"/>
      <c r="F350" s="310"/>
      <c r="G350" s="310"/>
      <c r="H350" s="132"/>
      <c r="I350" s="227"/>
      <c r="K350" s="262"/>
      <c r="L350" s="261">
        <f>L348-L349</f>
        <v>21946.689999999944</v>
      </c>
    </row>
    <row r="351" spans="1:11" s="261" customFormat="1" ht="21">
      <c r="A351" s="227"/>
      <c r="B351" s="227" t="s">
        <v>103</v>
      </c>
      <c r="C351" s="227"/>
      <c r="D351" s="227"/>
      <c r="E351" s="310"/>
      <c r="F351" s="310"/>
      <c r="G351" s="310"/>
      <c r="H351" s="345"/>
      <c r="I351" s="227"/>
      <c r="K351" s="262"/>
    </row>
    <row r="352" spans="1:11" s="261" customFormat="1" ht="21">
      <c r="A352" s="227"/>
      <c r="B352" s="227"/>
      <c r="C352" s="227"/>
      <c r="D352" s="227"/>
      <c r="E352" s="310"/>
      <c r="F352" s="310"/>
      <c r="G352" s="310"/>
      <c r="H352" s="345"/>
      <c r="I352" s="227"/>
      <c r="K352" s="262"/>
    </row>
    <row r="353" spans="1:11" s="261" customFormat="1" ht="21.75" thickBot="1">
      <c r="A353" s="227"/>
      <c r="B353" s="227" t="s">
        <v>376</v>
      </c>
      <c r="C353" s="227"/>
      <c r="D353" s="227"/>
      <c r="E353" s="310"/>
      <c r="F353" s="310"/>
      <c r="G353" s="310"/>
      <c r="H353" s="310"/>
      <c r="K353" s="262"/>
    </row>
    <row r="354" spans="1:11" s="261" customFormat="1" ht="22.5" thickBot="1" thickTop="1">
      <c r="A354" s="313">
        <v>1</v>
      </c>
      <c r="B354" s="317" t="s">
        <v>95</v>
      </c>
      <c r="C354" s="227"/>
      <c r="D354" s="227"/>
      <c r="E354" s="310">
        <f>269000+471500+177780.49+14031.61</f>
        <v>932312.1</v>
      </c>
      <c r="F354" s="310">
        <f>226000+471500+177780.49+14031.61</f>
        <v>889312.1</v>
      </c>
      <c r="G354" s="310">
        <v>43000</v>
      </c>
      <c r="H354" s="306">
        <f>E354-F354-G354</f>
        <v>0</v>
      </c>
      <c r="K354" s="262"/>
    </row>
    <row r="355" spans="1:11" s="261" customFormat="1" ht="21">
      <c r="A355" s="227"/>
      <c r="B355" s="314" t="s">
        <v>230</v>
      </c>
      <c r="C355" s="227"/>
      <c r="D355" s="227"/>
      <c r="E355" s="310"/>
      <c r="F355" s="310"/>
      <c r="G355" s="310"/>
      <c r="H355" s="310"/>
      <c r="K355" s="262"/>
    </row>
    <row r="356" spans="1:11" s="261" customFormat="1" ht="21.75" thickBot="1">
      <c r="A356" s="227"/>
      <c r="B356" s="227"/>
      <c r="C356" s="227"/>
      <c r="D356" s="227"/>
      <c r="E356" s="310"/>
      <c r="F356" s="310"/>
      <c r="G356" s="310"/>
      <c r="H356" s="310"/>
      <c r="K356" s="262"/>
    </row>
    <row r="357" spans="1:11" s="261" customFormat="1" ht="22.5" thickBot="1" thickTop="1">
      <c r="A357" s="313">
        <v>2</v>
      </c>
      <c r="B357" s="227" t="s">
        <v>232</v>
      </c>
      <c r="C357" s="227"/>
      <c r="D357" s="227"/>
      <c r="E357" s="310">
        <f>27320+25440</f>
        <v>52760</v>
      </c>
      <c r="F357" s="310">
        <f>27320+25440</f>
        <v>52760</v>
      </c>
      <c r="G357" s="310">
        <f>G359</f>
        <v>0</v>
      </c>
      <c r="H357" s="306">
        <f>E357-F357-G357</f>
        <v>0</v>
      </c>
      <c r="K357" s="262"/>
    </row>
    <row r="358" spans="1:11" s="261" customFormat="1" ht="21">
      <c r="A358" s="227"/>
      <c r="B358" s="227" t="s">
        <v>233</v>
      </c>
      <c r="C358" s="227"/>
      <c r="D358" s="227"/>
      <c r="E358" s="310"/>
      <c r="F358" s="310"/>
      <c r="G358" s="310"/>
      <c r="H358" s="310"/>
      <c r="K358" s="262"/>
    </row>
    <row r="359" spans="1:11" s="261" customFormat="1" ht="21">
      <c r="A359" s="227"/>
      <c r="B359" s="227"/>
      <c r="C359" s="227"/>
      <c r="D359" s="227"/>
      <c r="E359" s="310"/>
      <c r="F359" s="310"/>
      <c r="G359" s="310"/>
      <c r="H359" s="310"/>
      <c r="K359" s="262"/>
    </row>
    <row r="360" spans="1:11" s="261" customFormat="1" ht="21.75" thickBot="1">
      <c r="A360" s="227"/>
      <c r="B360" s="227" t="s">
        <v>106</v>
      </c>
      <c r="C360" s="227"/>
      <c r="D360" s="227"/>
      <c r="E360" s="310"/>
      <c r="F360" s="310"/>
      <c r="G360" s="310"/>
      <c r="H360" s="310"/>
      <c r="K360" s="262"/>
    </row>
    <row r="361" spans="1:11" s="261" customFormat="1" ht="22.5" thickBot="1" thickTop="1">
      <c r="A361" s="227"/>
      <c r="B361" s="227" t="s">
        <v>107</v>
      </c>
      <c r="C361" s="227"/>
      <c r="D361" s="227"/>
      <c r="E361" s="310">
        <v>2495000</v>
      </c>
      <c r="F361" s="310">
        <v>2495000</v>
      </c>
      <c r="G361" s="310">
        <v>0</v>
      </c>
      <c r="H361" s="306">
        <f>E361-F361-G361</f>
        <v>0</v>
      </c>
      <c r="K361" s="262"/>
    </row>
    <row r="362" spans="1:11" s="261" customFormat="1" ht="22.5" thickBot="1" thickTop="1">
      <c r="A362" s="227"/>
      <c r="B362" s="227" t="s">
        <v>108</v>
      </c>
      <c r="C362" s="227"/>
      <c r="D362" s="227"/>
      <c r="E362" s="310">
        <v>1000000</v>
      </c>
      <c r="F362" s="310">
        <v>1000000</v>
      </c>
      <c r="G362" s="310">
        <v>0</v>
      </c>
      <c r="H362" s="306">
        <f>E362-F362-G362</f>
        <v>0</v>
      </c>
      <c r="K362" s="262"/>
    </row>
    <row r="363" spans="1:11" s="183" customFormat="1" ht="21">
      <c r="A363" s="300"/>
      <c r="B363" s="300"/>
      <c r="C363" s="300"/>
      <c r="D363" s="300"/>
      <c r="E363" s="302"/>
      <c r="F363" s="302"/>
      <c r="G363" s="302"/>
      <c r="H363" s="318"/>
      <c r="K363" s="192"/>
    </row>
    <row r="364" spans="1:8" ht="21">
      <c r="A364" s="133"/>
      <c r="B364" s="133"/>
      <c r="C364" s="133"/>
      <c r="D364" s="133"/>
      <c r="E364" s="142"/>
      <c r="F364" s="142"/>
      <c r="G364" s="142"/>
      <c r="H364" s="142"/>
    </row>
    <row r="365" spans="1:8" ht="21.75" thickBot="1">
      <c r="A365" s="133"/>
      <c r="B365" s="347" t="s">
        <v>338</v>
      </c>
      <c r="C365" s="133"/>
      <c r="D365" s="133"/>
      <c r="E365" s="142"/>
      <c r="F365" s="142"/>
      <c r="G365" s="142"/>
      <c r="H365" s="142"/>
    </row>
    <row r="366" spans="1:8" ht="22.5" thickBot="1" thickTop="1">
      <c r="A366" s="133"/>
      <c r="B366" s="133" t="s">
        <v>235</v>
      </c>
      <c r="C366" s="133"/>
      <c r="D366" s="133"/>
      <c r="E366" s="142">
        <f>999000+1598000+3500000</f>
        <v>6097000</v>
      </c>
      <c r="F366" s="142">
        <f>995000+1593000+3498000</f>
        <v>6086000</v>
      </c>
      <c r="G366" s="349">
        <v>11000</v>
      </c>
      <c r="H366" s="348">
        <f>E366-F366-G366</f>
        <v>0</v>
      </c>
    </row>
    <row r="367" spans="1:8" ht="21">
      <c r="A367" s="133"/>
      <c r="B367" s="133"/>
      <c r="C367" s="133"/>
      <c r="D367" s="133"/>
      <c r="E367" s="142"/>
      <c r="F367" s="142"/>
      <c r="G367" s="142"/>
      <c r="H367" s="142"/>
    </row>
    <row r="368" spans="1:8" ht="21">
      <c r="A368" s="133"/>
      <c r="B368" s="133"/>
      <c r="C368" s="133"/>
      <c r="D368" s="133"/>
      <c r="E368" s="142"/>
      <c r="F368" s="142"/>
      <c r="G368" s="142"/>
      <c r="H368" s="142"/>
    </row>
    <row r="369" spans="1:11" s="261" customFormat="1" ht="21.75" thickBot="1">
      <c r="A369" s="227"/>
      <c r="B369" s="227" t="s">
        <v>279</v>
      </c>
      <c r="C369" s="227"/>
      <c r="D369" s="227"/>
      <c r="E369" s="310"/>
      <c r="F369" s="310"/>
      <c r="G369" s="310"/>
      <c r="H369" s="310"/>
      <c r="K369" s="262"/>
    </row>
    <row r="370" spans="1:11" s="261" customFormat="1" ht="22.5" thickBot="1" thickTop="1">
      <c r="A370" s="313">
        <v>1</v>
      </c>
      <c r="B370" s="317" t="s">
        <v>280</v>
      </c>
      <c r="C370" s="227"/>
      <c r="D370" s="227"/>
      <c r="E370" s="310">
        <f>1963260+539500</f>
        <v>2502760</v>
      </c>
      <c r="F370" s="310">
        <f>242360+42064.52+242359.99+242360+320860+60000+320860</f>
        <v>1470864.51</v>
      </c>
      <c r="G370" s="302">
        <v>811785.49</v>
      </c>
      <c r="H370" s="306">
        <f>E370-F370-G370</f>
        <v>220110</v>
      </c>
      <c r="K370" s="262"/>
    </row>
    <row r="371" spans="1:11" s="261" customFormat="1" ht="22.5" thickBot="1" thickTop="1">
      <c r="A371" s="313">
        <v>2</v>
      </c>
      <c r="B371" s="314" t="s">
        <v>281</v>
      </c>
      <c r="C371" s="227"/>
      <c r="D371" s="227"/>
      <c r="E371" s="310">
        <f>29250+9750</f>
        <v>39000</v>
      </c>
      <c r="F371" s="310">
        <f>3750+1500+750+750+1050+450+5250</f>
        <v>13500</v>
      </c>
      <c r="G371" s="302">
        <v>20250</v>
      </c>
      <c r="H371" s="306">
        <f>E371-F371-G371</f>
        <v>5250</v>
      </c>
      <c r="K371" s="262"/>
    </row>
    <row r="372" spans="1:8" ht="22.5" thickBot="1" thickTop="1">
      <c r="A372" s="313">
        <v>3</v>
      </c>
      <c r="B372" s="314" t="s">
        <v>282</v>
      </c>
      <c r="C372" s="227"/>
      <c r="D372" s="227"/>
      <c r="E372" s="310">
        <f>1560+520</f>
        <v>2080</v>
      </c>
      <c r="F372" s="310">
        <v>0</v>
      </c>
      <c r="G372" s="302">
        <v>440</v>
      </c>
      <c r="H372" s="306">
        <f>E372-F372-G372</f>
        <v>1640</v>
      </c>
    </row>
    <row r="373" spans="5:8" ht="21">
      <c r="E373" s="64">
        <f>SUM(E370:E372)</f>
        <v>2543840</v>
      </c>
      <c r="F373" s="64">
        <f>SUM(F370:F372)</f>
        <v>1484364.51</v>
      </c>
      <c r="G373" s="64">
        <f>SUM(G370:G372)</f>
        <v>832475.49</v>
      </c>
      <c r="H373" s="64">
        <f>SUM(H370:H372)</f>
        <v>227000</v>
      </c>
    </row>
    <row r="374" spans="6:8" ht="21">
      <c r="F374" s="64">
        <f>(F373+G373)*100/E373</f>
        <v>91.07648279766023</v>
      </c>
      <c r="H374" s="64">
        <f>H373*100/E373</f>
        <v>8.92351720233977</v>
      </c>
    </row>
    <row r="375" spans="1:11" s="183" customFormat="1" ht="21.75" thickBot="1">
      <c r="A375" s="300"/>
      <c r="B375" s="301" t="s">
        <v>459</v>
      </c>
      <c r="C375" s="300"/>
      <c r="D375" s="300"/>
      <c r="E375" s="302"/>
      <c r="F375" s="302"/>
      <c r="G375" s="302"/>
      <c r="H375" s="302"/>
      <c r="K375" s="192"/>
    </row>
    <row r="376" spans="1:11" s="227" customFormat="1" ht="22.5" thickBot="1" thickTop="1">
      <c r="A376" s="303">
        <v>1</v>
      </c>
      <c r="B376" s="224" t="s">
        <v>16</v>
      </c>
      <c r="C376" s="224"/>
      <c r="D376" s="224"/>
      <c r="E376" s="304">
        <f>9210900+5645020+4069794</f>
        <v>18925714</v>
      </c>
      <c r="F376" s="304">
        <f>6698645.16+1670375+17500+1688112.9+3500+1685600+6964.29+1690709.68+1644733.33+1698000+23666.66+1752096.77+95500+250310.21</f>
        <v>18925714</v>
      </c>
      <c r="G376" s="305"/>
      <c r="H376" s="132">
        <f aca="true" t="shared" si="11" ref="H376:H387">E376-F376-G376</f>
        <v>0</v>
      </c>
      <c r="K376" s="228"/>
    </row>
    <row r="377" spans="1:11" s="227" customFormat="1" ht="22.5" thickBot="1" thickTop="1">
      <c r="A377" s="240">
        <v>2</v>
      </c>
      <c r="B377" s="231" t="s">
        <v>104</v>
      </c>
      <c r="C377" s="231"/>
      <c r="D377" s="231"/>
      <c r="E377" s="307">
        <f>143364+14604+70327+24458</f>
        <v>252753</v>
      </c>
      <c r="F377" s="307">
        <f>113956+24519+23769+4910+2130+4893+4893+24466+25966+968</f>
        <v>230470</v>
      </c>
      <c r="G377" s="364">
        <v>22283</v>
      </c>
      <c r="H377" s="132">
        <f t="shared" si="11"/>
        <v>0</v>
      </c>
      <c r="I377" s="300" t="s">
        <v>181</v>
      </c>
      <c r="K377" s="228"/>
    </row>
    <row r="378" spans="1:11" s="227" customFormat="1" ht="22.5" thickBot="1" thickTop="1">
      <c r="A378" s="303">
        <v>3</v>
      </c>
      <c r="B378" s="234" t="s">
        <v>32</v>
      </c>
      <c r="C378" s="234"/>
      <c r="D378" s="234"/>
      <c r="E378" s="308">
        <f>5000+17500+7500</f>
        <v>30000</v>
      </c>
      <c r="F378" s="308">
        <f>5000+12500+2500+2500+7500</f>
        <v>30000</v>
      </c>
      <c r="G378" s="309"/>
      <c r="H378" s="132">
        <f t="shared" si="11"/>
        <v>0</v>
      </c>
      <c r="K378" s="228"/>
    </row>
    <row r="379" spans="1:11" s="227" customFormat="1" ht="22.5" thickBot="1" thickTop="1">
      <c r="A379" s="240">
        <v>4</v>
      </c>
      <c r="B379" s="234" t="s">
        <v>34</v>
      </c>
      <c r="C379" s="236"/>
      <c r="D379" s="236"/>
      <c r="E379" s="310">
        <f>1792433+847836+847835</f>
        <v>3488104</v>
      </c>
      <c r="F379" s="310">
        <f>1792433+847836+847835</f>
        <v>3488104</v>
      </c>
      <c r="G379" s="310"/>
      <c r="H379" s="306">
        <f t="shared" si="11"/>
        <v>0</v>
      </c>
      <c r="I379" s="238"/>
      <c r="J379" s="238"/>
      <c r="K379" s="239"/>
    </row>
    <row r="380" spans="1:11" s="227" customFormat="1" ht="22.5" thickBot="1" thickTop="1">
      <c r="A380" s="303">
        <v>5</v>
      </c>
      <c r="B380" s="234" t="s">
        <v>11</v>
      </c>
      <c r="C380" s="234"/>
      <c r="D380" s="234"/>
      <c r="E380" s="308">
        <f>57000+36000</f>
        <v>93000</v>
      </c>
      <c r="F380" s="308">
        <f>30000+6000+24000</f>
        <v>60000</v>
      </c>
      <c r="G380" s="360">
        <v>33000</v>
      </c>
      <c r="H380" s="306">
        <f t="shared" si="11"/>
        <v>0</v>
      </c>
      <c r="I380" s="238">
        <f>SUM(E376:E380)</f>
        <v>22789571</v>
      </c>
      <c r="J380" s="238">
        <f>SUM(F376:F380)</f>
        <v>22734288</v>
      </c>
      <c r="K380" s="356">
        <f>SUM(H376:H380)</f>
        <v>0</v>
      </c>
    </row>
    <row r="381" spans="1:11" s="227" customFormat="1" ht="22.5" thickBot="1" thickTop="1">
      <c r="A381" s="240">
        <v>6</v>
      </c>
      <c r="B381" s="234" t="s">
        <v>33</v>
      </c>
      <c r="C381" s="236"/>
      <c r="D381" s="236"/>
      <c r="E381" s="241">
        <f>454700+119000+109000</f>
        <v>682700</v>
      </c>
      <c r="F381" s="242">
        <f>440250+13200+120150+101250+7850</f>
        <v>682700</v>
      </c>
      <c r="G381" s="284"/>
      <c r="H381" s="358">
        <f t="shared" si="11"/>
        <v>0</v>
      </c>
      <c r="I381" s="243"/>
      <c r="J381" s="243"/>
      <c r="K381" s="244"/>
    </row>
    <row r="382" spans="1:11" s="227" customFormat="1" ht="22.5" thickBot="1" thickTop="1">
      <c r="A382" s="240">
        <v>7</v>
      </c>
      <c r="B382" s="234" t="s">
        <v>59</v>
      </c>
      <c r="C382" s="236"/>
      <c r="D382" s="236"/>
      <c r="E382" s="241"/>
      <c r="F382" s="242"/>
      <c r="G382" s="284"/>
      <c r="H382" s="306">
        <f t="shared" si="11"/>
        <v>0</v>
      </c>
      <c r="I382" s="243"/>
      <c r="J382" s="243"/>
      <c r="K382" s="243"/>
    </row>
    <row r="383" spans="1:11" s="249" customFormat="1" ht="22.5" thickBot="1" thickTop="1">
      <c r="A383" s="303">
        <v>8</v>
      </c>
      <c r="B383" s="234" t="s">
        <v>182</v>
      </c>
      <c r="C383" s="234"/>
      <c r="D383" s="234"/>
      <c r="E383" s="319">
        <f>1876900+233250</f>
        <v>2110150</v>
      </c>
      <c r="F383" s="319">
        <v>2110150</v>
      </c>
      <c r="G383" s="284"/>
      <c r="H383" s="321">
        <f t="shared" si="11"/>
        <v>0</v>
      </c>
      <c r="I383" s="227"/>
      <c r="K383" s="250"/>
    </row>
    <row r="384" spans="1:11" s="249" customFormat="1" ht="22.5" thickBot="1" thickTop="1">
      <c r="A384" s="303">
        <v>9</v>
      </c>
      <c r="B384" s="234" t="s">
        <v>65</v>
      </c>
      <c r="C384" s="236"/>
      <c r="D384" s="236"/>
      <c r="E384" s="311"/>
      <c r="F384" s="242"/>
      <c r="G384" s="284"/>
      <c r="H384" s="306">
        <f t="shared" si="11"/>
        <v>0</v>
      </c>
      <c r="I384" s="243"/>
      <c r="J384" s="255"/>
      <c r="K384" s="256"/>
    </row>
    <row r="385" spans="1:11" s="249" customFormat="1" ht="22.5" thickBot="1" thickTop="1">
      <c r="A385" s="312">
        <v>10</v>
      </c>
      <c r="B385" s="234" t="s">
        <v>154</v>
      </c>
      <c r="C385" s="234"/>
      <c r="D385" s="234"/>
      <c r="E385" s="242">
        <f>53100+8000+62000</f>
        <v>123100</v>
      </c>
      <c r="F385" s="242">
        <f>1000+12800+16770+10800+4980+930+4935+680+26463+5562+12220+25960</f>
        <v>123100</v>
      </c>
      <c r="G385" s="284"/>
      <c r="H385" s="358">
        <f t="shared" si="11"/>
        <v>0</v>
      </c>
      <c r="I385" s="227"/>
      <c r="K385" s="250"/>
    </row>
    <row r="386" spans="1:15" s="249" customFormat="1" ht="22.5" thickBot="1" thickTop="1">
      <c r="A386" s="312">
        <v>11</v>
      </c>
      <c r="B386" s="234" t="s">
        <v>156</v>
      </c>
      <c r="C386" s="234"/>
      <c r="D386" s="234"/>
      <c r="E386" s="319">
        <v>8350</v>
      </c>
      <c r="F386" s="319">
        <f>1900+420+6000</f>
        <v>8320</v>
      </c>
      <c r="G386" s="361">
        <v>30</v>
      </c>
      <c r="H386" s="357">
        <f t="shared" si="11"/>
        <v>0</v>
      </c>
      <c r="I386" s="294">
        <f>SUM(E386:E386)</f>
        <v>8350</v>
      </c>
      <c r="J386" s="238">
        <f>SUM(F385:F386)</f>
        <v>131420</v>
      </c>
      <c r="K386" s="238">
        <f>SUM(H386:H386)</f>
        <v>0</v>
      </c>
      <c r="L386" s="266">
        <f>E376+E377+E378+E379++E380+E381+E383+E385+E386</f>
        <v>25713871</v>
      </c>
      <c r="M386" s="266">
        <f>F376+F377+F378+F379++F380+F381+F383+F385+F386</f>
        <v>25658558</v>
      </c>
      <c r="N386" s="266">
        <f>G376+G377+G378+G379++G380+G381+G383+G385+G386</f>
        <v>55313</v>
      </c>
      <c r="O386" s="266">
        <f>H376+H377+H378+H379++H380+H381+H383+H385+H386</f>
        <v>0</v>
      </c>
    </row>
    <row r="387" spans="1:15" s="249" customFormat="1" ht="22.5" thickBot="1" thickTop="1">
      <c r="A387" s="312">
        <v>12</v>
      </c>
      <c r="B387" s="234" t="s">
        <v>306</v>
      </c>
      <c r="C387" s="234"/>
      <c r="D387" s="234"/>
      <c r="E387" s="319">
        <f>5000+2400</f>
        <v>7400</v>
      </c>
      <c r="F387" s="319">
        <f>5000+2400</f>
        <v>7400</v>
      </c>
      <c r="G387" s="284"/>
      <c r="H387" s="357">
        <f t="shared" si="11"/>
        <v>0</v>
      </c>
      <c r="I387" s="266"/>
      <c r="J387" s="238"/>
      <c r="K387" s="238"/>
      <c r="L387" s="266"/>
      <c r="M387" s="266"/>
      <c r="N387" s="266"/>
      <c r="O387" s="266"/>
    </row>
    <row r="388" spans="1:11" s="249" customFormat="1" ht="21.75" thickBot="1">
      <c r="A388" s="315"/>
      <c r="B388" s="316" t="s">
        <v>35</v>
      </c>
      <c r="C388" s="316"/>
      <c r="D388" s="316"/>
      <c r="E388" s="242">
        <f>SUM(E376:E387)</f>
        <v>25721271</v>
      </c>
      <c r="F388" s="242">
        <f>SUM(F376:F387)</f>
        <v>25665958</v>
      </c>
      <c r="G388" s="242">
        <f>SUM(G376:G387)</f>
        <v>55313</v>
      </c>
      <c r="H388" s="242">
        <f>SUM(H376:H387)</f>
        <v>0</v>
      </c>
      <c r="K388" s="250"/>
    </row>
    <row r="389" spans="1:11" s="249" customFormat="1" ht="21.75" thickBot="1">
      <c r="A389" s="315"/>
      <c r="B389" s="316" t="s">
        <v>36</v>
      </c>
      <c r="C389" s="316"/>
      <c r="D389" s="316"/>
      <c r="E389" s="242"/>
      <c r="F389" s="242"/>
      <c r="G389" s="242">
        <f>(F388+G388)*100/E388</f>
        <v>100</v>
      </c>
      <c r="H389" s="242">
        <v>0</v>
      </c>
      <c r="I389" s="341">
        <f>F388+G388</f>
        <v>25721271</v>
      </c>
      <c r="K389" s="250"/>
    </row>
    <row r="390" spans="1:11" s="249" customFormat="1" ht="21.75" thickBot="1">
      <c r="A390" s="342"/>
      <c r="B390" s="343"/>
      <c r="C390" s="343"/>
      <c r="D390" s="343"/>
      <c r="E390" s="344"/>
      <c r="F390" s="344"/>
      <c r="G390" s="344"/>
      <c r="H390" s="284"/>
      <c r="I390" s="294">
        <f>H388*100/E388</f>
        <v>0</v>
      </c>
      <c r="K390" s="250"/>
    </row>
    <row r="391" spans="1:12" s="249" customFormat="1" ht="21.75" thickBot="1">
      <c r="A391" s="342"/>
      <c r="B391" s="346" t="s">
        <v>337</v>
      </c>
      <c r="C391" s="343"/>
      <c r="D391" s="343"/>
      <c r="E391" s="344"/>
      <c r="F391" s="344"/>
      <c r="G391" s="344"/>
      <c r="H391" s="284"/>
      <c r="I391" s="294"/>
      <c r="K391" s="250"/>
      <c r="L391" s="249">
        <v>2242097.67</v>
      </c>
    </row>
    <row r="392" spans="1:12" s="261" customFormat="1" ht="22.5" thickBot="1" thickTop="1">
      <c r="A392" s="313">
        <v>1</v>
      </c>
      <c r="B392" s="314" t="s">
        <v>101</v>
      </c>
      <c r="C392" s="227"/>
      <c r="D392" s="227"/>
      <c r="E392" s="310">
        <v>55000</v>
      </c>
      <c r="F392" s="310">
        <v>55000</v>
      </c>
      <c r="G392" s="310"/>
      <c r="H392" s="132">
        <f>E392-F392-G392</f>
        <v>0</v>
      </c>
      <c r="I392" s="227"/>
      <c r="K392" s="262"/>
      <c r="L392" s="261">
        <v>2220150.98</v>
      </c>
    </row>
    <row r="393" spans="1:12" s="261" customFormat="1" ht="22.5" thickBot="1" thickTop="1">
      <c r="A393" s="227"/>
      <c r="B393" s="227" t="s">
        <v>102</v>
      </c>
      <c r="C393" s="227"/>
      <c r="D393" s="227"/>
      <c r="E393" s="310"/>
      <c r="F393" s="310"/>
      <c r="G393" s="310"/>
      <c r="H393" s="132"/>
      <c r="I393" s="227"/>
      <c r="K393" s="262"/>
      <c r="L393" s="261">
        <f>L391-L392</f>
        <v>21946.689999999944</v>
      </c>
    </row>
    <row r="394" spans="1:11" s="261" customFormat="1" ht="21">
      <c r="A394" s="227"/>
      <c r="B394" s="227" t="s">
        <v>103</v>
      </c>
      <c r="C394" s="227"/>
      <c r="D394" s="227"/>
      <c r="E394" s="310"/>
      <c r="F394" s="310"/>
      <c r="G394" s="310"/>
      <c r="H394" s="345"/>
      <c r="I394" s="227"/>
      <c r="K394" s="262"/>
    </row>
    <row r="395" spans="1:11" s="261" customFormat="1" ht="21">
      <c r="A395" s="227"/>
      <c r="B395" s="227"/>
      <c r="C395" s="227"/>
      <c r="D395" s="227"/>
      <c r="E395" s="310"/>
      <c r="F395" s="310"/>
      <c r="G395" s="310"/>
      <c r="H395" s="345"/>
      <c r="I395" s="227"/>
      <c r="K395" s="262"/>
    </row>
    <row r="396" spans="1:11" s="261" customFormat="1" ht="21.75" thickBot="1">
      <c r="A396" s="227"/>
      <c r="B396" s="227" t="s">
        <v>376</v>
      </c>
      <c r="C396" s="227"/>
      <c r="D396" s="227"/>
      <c r="E396" s="310"/>
      <c r="F396" s="310"/>
      <c r="G396" s="310"/>
      <c r="H396" s="310"/>
      <c r="K396" s="262"/>
    </row>
    <row r="397" spans="1:11" s="261" customFormat="1" ht="22.5" thickBot="1" thickTop="1">
      <c r="A397" s="313">
        <v>1</v>
      </c>
      <c r="B397" s="317" t="s">
        <v>95</v>
      </c>
      <c r="C397" s="227"/>
      <c r="D397" s="227"/>
      <c r="E397" s="310">
        <f>269000+471500+177780.49+14031.61</f>
        <v>932312.1</v>
      </c>
      <c r="F397" s="310">
        <f>226000+471500+177780.49+14031.61</f>
        <v>889312.1</v>
      </c>
      <c r="G397" s="310">
        <v>43000</v>
      </c>
      <c r="H397" s="306">
        <f>E397-F397-G397</f>
        <v>0</v>
      </c>
      <c r="K397" s="262"/>
    </row>
    <row r="398" spans="1:11" s="261" customFormat="1" ht="21">
      <c r="A398" s="227"/>
      <c r="B398" s="314" t="s">
        <v>230</v>
      </c>
      <c r="C398" s="227"/>
      <c r="D398" s="227"/>
      <c r="E398" s="310"/>
      <c r="F398" s="310"/>
      <c r="G398" s="310"/>
      <c r="H398" s="310"/>
      <c r="K398" s="262"/>
    </row>
    <row r="399" spans="1:11" s="261" customFormat="1" ht="21.75" thickBot="1">
      <c r="A399" s="227"/>
      <c r="B399" s="227"/>
      <c r="C399" s="227"/>
      <c r="D399" s="227"/>
      <c r="E399" s="310"/>
      <c r="F399" s="310"/>
      <c r="G399" s="310"/>
      <c r="H399" s="310"/>
      <c r="K399" s="262"/>
    </row>
    <row r="400" spans="1:11" s="261" customFormat="1" ht="22.5" thickBot="1" thickTop="1">
      <c r="A400" s="313">
        <v>2</v>
      </c>
      <c r="B400" s="227" t="s">
        <v>232</v>
      </c>
      <c r="C400" s="227"/>
      <c r="D400" s="227"/>
      <c r="E400" s="310">
        <f>27320+25440</f>
        <v>52760</v>
      </c>
      <c r="F400" s="310">
        <f>27320+25440</f>
        <v>52760</v>
      </c>
      <c r="G400" s="310">
        <f>G402</f>
        <v>0</v>
      </c>
      <c r="H400" s="306">
        <f>E400-F400-G400</f>
        <v>0</v>
      </c>
      <c r="K400" s="262"/>
    </row>
    <row r="401" spans="1:11" s="261" customFormat="1" ht="21">
      <c r="A401" s="227"/>
      <c r="B401" s="227" t="s">
        <v>233</v>
      </c>
      <c r="C401" s="227"/>
      <c r="D401" s="227"/>
      <c r="E401" s="310"/>
      <c r="F401" s="310"/>
      <c r="G401" s="310"/>
      <c r="H401" s="310"/>
      <c r="K401" s="262"/>
    </row>
    <row r="402" spans="1:11" s="261" customFormat="1" ht="21">
      <c r="A402" s="227"/>
      <c r="B402" s="227"/>
      <c r="C402" s="227"/>
      <c r="D402" s="227"/>
      <c r="E402" s="310"/>
      <c r="F402" s="310"/>
      <c r="G402" s="310"/>
      <c r="H402" s="310"/>
      <c r="K402" s="262"/>
    </row>
    <row r="403" spans="1:11" s="261" customFormat="1" ht="21.75" thickBot="1">
      <c r="A403" s="227"/>
      <c r="B403" s="227" t="s">
        <v>106</v>
      </c>
      <c r="C403" s="227"/>
      <c r="D403" s="227"/>
      <c r="E403" s="310"/>
      <c r="F403" s="310"/>
      <c r="G403" s="310"/>
      <c r="H403" s="310"/>
      <c r="K403" s="262"/>
    </row>
    <row r="404" spans="1:11" s="261" customFormat="1" ht="22.5" thickBot="1" thickTop="1">
      <c r="A404" s="227">
        <v>1</v>
      </c>
      <c r="B404" s="227" t="s">
        <v>107</v>
      </c>
      <c r="C404" s="227"/>
      <c r="D404" s="227"/>
      <c r="E404" s="310">
        <v>2495000</v>
      </c>
      <c r="F404" s="310">
        <v>2495000</v>
      </c>
      <c r="G404" s="310">
        <v>0</v>
      </c>
      <c r="H404" s="306">
        <f>E404-F404-G404</f>
        <v>0</v>
      </c>
      <c r="K404" s="262"/>
    </row>
    <row r="405" spans="1:11" s="261" customFormat="1" ht="22.5" thickBot="1" thickTop="1">
      <c r="A405" s="227"/>
      <c r="B405" s="227" t="s">
        <v>108</v>
      </c>
      <c r="C405" s="227"/>
      <c r="D405" s="227"/>
      <c r="E405" s="310">
        <v>1000000</v>
      </c>
      <c r="F405" s="310">
        <v>1000000</v>
      </c>
      <c r="G405" s="310">
        <v>0</v>
      </c>
      <c r="H405" s="306">
        <f>E405-F405-G405</f>
        <v>0</v>
      </c>
      <c r="K405" s="262"/>
    </row>
    <row r="406" spans="1:11" s="183" customFormat="1" ht="21">
      <c r="A406" s="300"/>
      <c r="B406" s="300"/>
      <c r="C406" s="300"/>
      <c r="D406" s="300"/>
      <c r="E406" s="302"/>
      <c r="F406" s="302"/>
      <c r="G406" s="302"/>
      <c r="H406" s="318"/>
      <c r="K406" s="192"/>
    </row>
    <row r="407" spans="1:8" ht="21">
      <c r="A407" s="133"/>
      <c r="B407" s="133"/>
      <c r="C407" s="133"/>
      <c r="D407" s="133"/>
      <c r="E407" s="142"/>
      <c r="F407" s="142"/>
      <c r="G407" s="142"/>
      <c r="H407" s="142"/>
    </row>
    <row r="408" spans="1:8" ht="21.75" thickBot="1">
      <c r="A408" s="133"/>
      <c r="B408" s="347" t="s">
        <v>338</v>
      </c>
      <c r="C408" s="133"/>
      <c r="D408" s="133"/>
      <c r="E408" s="142"/>
      <c r="F408" s="142"/>
      <c r="G408" s="142"/>
      <c r="H408" s="142"/>
    </row>
    <row r="409" spans="1:8" ht="22.5" thickBot="1" thickTop="1">
      <c r="A409" s="133">
        <v>1</v>
      </c>
      <c r="B409" s="133" t="s">
        <v>235</v>
      </c>
      <c r="C409" s="133"/>
      <c r="D409" s="133"/>
      <c r="E409" s="142">
        <f>999000+1598000+3500000</f>
        <v>6097000</v>
      </c>
      <c r="F409" s="142">
        <f>995000+1593000+3498000</f>
        <v>6086000</v>
      </c>
      <c r="G409" s="349">
        <v>11000</v>
      </c>
      <c r="H409" s="348">
        <f>E409-F409-G409</f>
        <v>0</v>
      </c>
    </row>
    <row r="410" spans="1:8" ht="21">
      <c r="A410" s="133"/>
      <c r="B410" s="133"/>
      <c r="C410" s="133"/>
      <c r="D410" s="133"/>
      <c r="E410" s="142"/>
      <c r="F410" s="142"/>
      <c r="G410" s="142"/>
      <c r="H410" s="142"/>
    </row>
    <row r="411" spans="1:8" ht="21">
      <c r="A411" s="133"/>
      <c r="B411" s="133"/>
      <c r="C411" s="133"/>
      <c r="D411" s="133"/>
      <c r="E411" s="142"/>
      <c r="F411" s="142"/>
      <c r="G411" s="142"/>
      <c r="H411" s="142"/>
    </row>
    <row r="412" spans="1:11" s="261" customFormat="1" ht="21.75" thickBot="1">
      <c r="A412" s="227"/>
      <c r="B412" s="227" t="s">
        <v>279</v>
      </c>
      <c r="C412" s="227"/>
      <c r="D412" s="227"/>
      <c r="E412" s="310"/>
      <c r="F412" s="310"/>
      <c r="G412" s="310"/>
      <c r="H412" s="310"/>
      <c r="K412" s="262"/>
    </row>
    <row r="413" spans="1:11" s="261" customFormat="1" ht="22.5" thickBot="1" thickTop="1">
      <c r="A413" s="313">
        <v>1</v>
      </c>
      <c r="B413" s="317" t="s">
        <v>280</v>
      </c>
      <c r="C413" s="227"/>
      <c r="D413" s="227"/>
      <c r="E413" s="310">
        <f>1963260+539500</f>
        <v>2502760</v>
      </c>
      <c r="F413" s="310">
        <f>242360+42064.52+242359.99+242360+320860+60000+320860+220110</f>
        <v>1690974.51</v>
      </c>
      <c r="G413" s="302">
        <v>811785.49</v>
      </c>
      <c r="H413" s="306">
        <f>E413-F413-G413</f>
        <v>0</v>
      </c>
      <c r="K413" s="262"/>
    </row>
    <row r="414" spans="1:11" s="261" customFormat="1" ht="22.5" thickBot="1" thickTop="1">
      <c r="A414" s="313">
        <v>2</v>
      </c>
      <c r="B414" s="314" t="s">
        <v>281</v>
      </c>
      <c r="C414" s="227"/>
      <c r="D414" s="227"/>
      <c r="E414" s="310">
        <f>29250+9750</f>
        <v>39000</v>
      </c>
      <c r="F414" s="310">
        <f>3750+1500+750+750+1050+450+5250+5250</f>
        <v>18750</v>
      </c>
      <c r="G414" s="302">
        <v>20250</v>
      </c>
      <c r="H414" s="306"/>
      <c r="K414" s="262"/>
    </row>
    <row r="415" spans="1:9" ht="22.5" thickBot="1" thickTop="1">
      <c r="A415" s="313">
        <v>3</v>
      </c>
      <c r="B415" s="314" t="s">
        <v>282</v>
      </c>
      <c r="C415" s="227"/>
      <c r="D415" s="227"/>
      <c r="E415" s="310">
        <f>1560+520</f>
        <v>2080</v>
      </c>
      <c r="F415" s="310">
        <v>0</v>
      </c>
      <c r="G415" s="302">
        <v>440</v>
      </c>
      <c r="H415" s="306">
        <f>E415-F415-G415</f>
        <v>1640</v>
      </c>
      <c r="I415" s="59" t="s">
        <v>446</v>
      </c>
    </row>
    <row r="416" spans="5:8" ht="21">
      <c r="E416" s="64">
        <f>SUM(E413:E415)</f>
        <v>2543840</v>
      </c>
      <c r="F416" s="64">
        <f>SUM(F413:F415)</f>
        <v>1709724.51</v>
      </c>
      <c r="G416" s="64">
        <f>SUM(G413:G415)</f>
        <v>832475.49</v>
      </c>
      <c r="H416" s="64">
        <f>SUM(H413:H415)</f>
        <v>1640</v>
      </c>
    </row>
    <row r="417" spans="6:8" ht="21">
      <c r="F417" s="64">
        <f>(F416+G416+H416)*100/E416</f>
        <v>100</v>
      </c>
      <c r="H417" s="64">
        <v>0</v>
      </c>
    </row>
    <row r="419" ht="21.75" thickBot="1">
      <c r="B419" s="59" t="s">
        <v>447</v>
      </c>
    </row>
    <row r="420" spans="2:8" ht="22.5" thickBot="1" thickTop="1">
      <c r="B420" s="59" t="s">
        <v>16</v>
      </c>
      <c r="E420" s="64">
        <v>1477756.12</v>
      </c>
      <c r="F420" s="64">
        <v>1477756.12</v>
      </c>
      <c r="G420" s="64">
        <f>SUM(G418:G419)</f>
        <v>0</v>
      </c>
      <c r="H420" s="306">
        <f>E420-F420-G420</f>
        <v>0</v>
      </c>
    </row>
    <row r="421" spans="2:8" ht="22.5" thickBot="1" thickTop="1">
      <c r="B421" s="59" t="s">
        <v>449</v>
      </c>
      <c r="E421" s="64">
        <v>498791.85</v>
      </c>
      <c r="F421" s="64">
        <v>498791.85</v>
      </c>
      <c r="G421" s="302">
        <v>0</v>
      </c>
      <c r="H421" s="306">
        <f>E421-F421-G421</f>
        <v>0</v>
      </c>
    </row>
    <row r="422" spans="5:8" ht="21">
      <c r="E422" s="64">
        <f>SUM(E420:E421)</f>
        <v>1976547.9700000002</v>
      </c>
      <c r="F422" s="64">
        <f>SUM(F420:F421)</f>
        <v>1976547.9700000002</v>
      </c>
      <c r="G422" s="64">
        <f>SUM(G420:G421)</f>
        <v>0</v>
      </c>
      <c r="H422" s="64">
        <f>SUM(H420:H421)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3">
      <selection activeCell="G63" sqref="G63"/>
    </sheetView>
  </sheetViews>
  <sheetFormatPr defaultColWidth="10.28125" defaultRowHeight="23.25" customHeight="1"/>
  <cols>
    <col min="1" max="1" width="10.00390625" style="1" customWidth="1"/>
    <col min="2" max="2" width="4.00390625" style="1" customWidth="1"/>
    <col min="3" max="3" width="13.8515625" style="1" customWidth="1"/>
    <col min="4" max="4" width="46.421875" style="1" customWidth="1"/>
    <col min="5" max="9" width="14.28125" style="1" customWidth="1"/>
    <col min="10" max="10" width="13.140625" style="25" customWidth="1"/>
    <col min="11" max="255" width="9.140625" style="1" customWidth="1"/>
    <col min="256" max="16384" width="10.28125" style="1" bestFit="1" customWidth="1"/>
  </cols>
  <sheetData>
    <row r="1" spans="1:10" s="2" customFormat="1" ht="27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74" t="s">
        <v>38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ht="23.25">
      <c r="A3" s="375" t="s">
        <v>39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68" t="s">
        <v>120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76" t="s">
        <v>137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10" s="30" customFormat="1" ht="23.25" customHeight="1">
      <c r="A6" s="7" t="s">
        <v>0</v>
      </c>
      <c r="B6" s="4"/>
      <c r="C6" s="378" t="s">
        <v>3</v>
      </c>
      <c r="D6" s="378" t="s">
        <v>4</v>
      </c>
      <c r="E6" s="371" t="s">
        <v>10</v>
      </c>
      <c r="F6" s="372"/>
      <c r="G6" s="372"/>
      <c r="H6" s="372"/>
      <c r="I6" s="373"/>
      <c r="J6" s="29"/>
    </row>
    <row r="7" spans="1:10" s="30" customFormat="1" ht="23.25" customHeight="1">
      <c r="A7" s="4" t="s">
        <v>1</v>
      </c>
      <c r="B7" s="35" t="s">
        <v>2</v>
      </c>
      <c r="C7" s="379"/>
      <c r="D7" s="379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29"/>
    </row>
    <row r="8" spans="1:9" ht="23.25" customHeight="1">
      <c r="A8" s="27" t="s">
        <v>15</v>
      </c>
      <c r="B8" s="27">
        <v>1</v>
      </c>
      <c r="C8" s="26" t="s">
        <v>127</v>
      </c>
      <c r="D8" s="21" t="s">
        <v>48</v>
      </c>
      <c r="E8" s="16">
        <v>57000</v>
      </c>
      <c r="F8" s="16"/>
      <c r="G8" s="16"/>
      <c r="H8" s="16"/>
      <c r="I8" s="16">
        <f>E8</f>
        <v>57000</v>
      </c>
    </row>
    <row r="9" spans="1:9" ht="23.25" customHeight="1">
      <c r="A9" s="12"/>
      <c r="B9" s="12"/>
      <c r="C9" s="6" t="s">
        <v>128</v>
      </c>
      <c r="D9" s="12"/>
      <c r="E9" s="16"/>
      <c r="F9" s="16"/>
      <c r="G9" s="16"/>
      <c r="H9" s="16"/>
      <c r="I9" s="16"/>
    </row>
    <row r="10" spans="1:9" ht="23.25" customHeight="1">
      <c r="A10" s="12"/>
      <c r="B10" s="12">
        <v>17</v>
      </c>
      <c r="C10" s="97" t="s">
        <v>135</v>
      </c>
      <c r="D10" s="21" t="s">
        <v>136</v>
      </c>
      <c r="E10" s="16"/>
      <c r="F10" s="16"/>
      <c r="G10" s="16"/>
      <c r="H10" s="16">
        <v>12000</v>
      </c>
      <c r="I10" s="16">
        <f>I8+E10-H10</f>
        <v>45000</v>
      </c>
    </row>
    <row r="11" spans="1:9" ht="23.25" customHeight="1">
      <c r="A11" s="12"/>
      <c r="B11" s="12"/>
      <c r="C11" s="6"/>
      <c r="D11" s="12"/>
      <c r="E11" s="16"/>
      <c r="F11" s="16"/>
      <c r="G11" s="16"/>
      <c r="H11" s="16"/>
      <c r="I11" s="16"/>
    </row>
    <row r="12" spans="1:10" ht="24" thickBot="1">
      <c r="A12" s="12"/>
      <c r="B12" s="12"/>
      <c r="C12" s="6"/>
      <c r="D12" s="12" t="s">
        <v>21</v>
      </c>
      <c r="E12" s="38">
        <f>SUM(E7:E11)</f>
        <v>57000</v>
      </c>
      <c r="F12" s="38">
        <f>SUM(F7:F11)</f>
        <v>0</v>
      </c>
      <c r="G12" s="38">
        <f>SUM(G7:G11)</f>
        <v>0</v>
      </c>
      <c r="H12" s="38">
        <f>SUM(H7:H11)</f>
        <v>12000</v>
      </c>
      <c r="I12" s="38">
        <f>E12-H12</f>
        <v>45000</v>
      </c>
      <c r="J12" s="1"/>
    </row>
    <row r="13" spans="1:10" ht="24.75" thickBot="1" thickTop="1">
      <c r="A13" s="22"/>
      <c r="B13" s="12"/>
      <c r="C13" s="6"/>
      <c r="D13" s="12" t="s">
        <v>19</v>
      </c>
      <c r="E13" s="39">
        <f>E12</f>
        <v>57000</v>
      </c>
      <c r="F13" s="39">
        <f>F12</f>
        <v>0</v>
      </c>
      <c r="G13" s="39">
        <f>G12</f>
        <v>0</v>
      </c>
      <c r="H13" s="39">
        <f>H12</f>
        <v>12000</v>
      </c>
      <c r="I13" s="39">
        <f>E13-H13</f>
        <v>45000</v>
      </c>
      <c r="J13" s="1"/>
    </row>
    <row r="14" spans="1:9" s="53" customFormat="1" ht="24" thickTop="1">
      <c r="A14" s="74"/>
      <c r="B14" s="72"/>
      <c r="C14" s="73"/>
      <c r="D14" s="72"/>
      <c r="E14" s="79"/>
      <c r="F14" s="79"/>
      <c r="G14" s="79"/>
      <c r="H14" s="79"/>
      <c r="I14" s="79"/>
    </row>
    <row r="15" spans="1:10" ht="23.25">
      <c r="A15" s="22"/>
      <c r="B15" s="12"/>
      <c r="C15" s="28"/>
      <c r="D15" s="12" t="s">
        <v>20</v>
      </c>
      <c r="E15" s="16"/>
      <c r="F15" s="16"/>
      <c r="G15" s="16"/>
      <c r="H15" s="16"/>
      <c r="I15" s="16">
        <f>I13</f>
        <v>45000</v>
      </c>
      <c r="J15" s="1"/>
    </row>
    <row r="16" spans="1:10" s="53" customFormat="1" ht="23.25" customHeight="1">
      <c r="A16" s="22" t="s">
        <v>22</v>
      </c>
      <c r="B16" s="12">
        <v>19</v>
      </c>
      <c r="C16" s="97" t="s">
        <v>55</v>
      </c>
      <c r="D16" s="21" t="s">
        <v>161</v>
      </c>
      <c r="E16" s="16"/>
      <c r="F16" s="16"/>
      <c r="G16" s="16"/>
      <c r="H16" s="16">
        <v>6000</v>
      </c>
      <c r="I16" s="16">
        <f>I15+E16-H16</f>
        <v>39000</v>
      </c>
      <c r="J16" s="76"/>
    </row>
    <row r="17" spans="1:10" s="53" customFormat="1" ht="23.25" customHeight="1">
      <c r="A17" s="22"/>
      <c r="B17" s="12"/>
      <c r="C17" s="97"/>
      <c r="D17" s="21" t="s">
        <v>162</v>
      </c>
      <c r="E17" s="16">
        <v>-21000</v>
      </c>
      <c r="F17" s="16"/>
      <c r="G17" s="16"/>
      <c r="H17" s="16"/>
      <c r="I17" s="16">
        <f>I16+E17+H17</f>
        <v>18000</v>
      </c>
      <c r="J17" s="76"/>
    </row>
    <row r="18" spans="1:10" s="53" customFormat="1" ht="23.25" customHeight="1">
      <c r="A18" s="74"/>
      <c r="B18" s="72"/>
      <c r="C18" s="80"/>
      <c r="D18" s="72"/>
      <c r="E18" s="75"/>
      <c r="F18" s="75"/>
      <c r="G18" s="75"/>
      <c r="H18" s="75"/>
      <c r="I18" s="75"/>
      <c r="J18" s="76"/>
    </row>
    <row r="19" spans="1:10" ht="24" thickBot="1">
      <c r="A19" s="12"/>
      <c r="B19" s="12"/>
      <c r="C19" s="6"/>
      <c r="D19" s="12" t="s">
        <v>21</v>
      </c>
      <c r="E19" s="38">
        <f>SUM(E16:E18)</f>
        <v>-21000</v>
      </c>
      <c r="F19" s="38">
        <f>SUM(F16:F18)</f>
        <v>0</v>
      </c>
      <c r="G19" s="38">
        <f>SUM(G16:G18)</f>
        <v>0</v>
      </c>
      <c r="H19" s="38">
        <f>SUM(H16:H18)</f>
        <v>6000</v>
      </c>
      <c r="I19" s="38">
        <f>I17</f>
        <v>18000</v>
      </c>
      <c r="J19" s="1"/>
    </row>
    <row r="20" spans="1:10" ht="24.75" thickBot="1" thickTop="1">
      <c r="A20" s="22"/>
      <c r="B20" s="12"/>
      <c r="C20" s="6"/>
      <c r="D20" s="12" t="s">
        <v>19</v>
      </c>
      <c r="E20" s="39">
        <f>E13+E19</f>
        <v>36000</v>
      </c>
      <c r="F20" s="39">
        <f>F13+F16</f>
        <v>0</v>
      </c>
      <c r="G20" s="39">
        <f>G13+G16</f>
        <v>0</v>
      </c>
      <c r="H20" s="39">
        <f>H13+H16</f>
        <v>18000</v>
      </c>
      <c r="I20" s="39">
        <f>E20-H20</f>
        <v>18000</v>
      </c>
      <c r="J20" s="1"/>
    </row>
    <row r="21" spans="1:10" ht="24" thickTop="1">
      <c r="A21" s="32"/>
      <c r="B21" s="13"/>
      <c r="C21" s="10"/>
      <c r="D21" s="13"/>
      <c r="E21" s="101"/>
      <c r="F21" s="101"/>
      <c r="G21" s="101"/>
      <c r="H21" s="101"/>
      <c r="I21" s="101"/>
      <c r="J21" s="1"/>
    </row>
    <row r="22" spans="1:9" ht="23.25" customHeight="1">
      <c r="A22" s="23"/>
      <c r="B22" s="14"/>
      <c r="C22" s="9"/>
      <c r="D22" s="14" t="s">
        <v>20</v>
      </c>
      <c r="E22" s="18"/>
      <c r="F22" s="18"/>
      <c r="G22" s="18"/>
      <c r="H22" s="18"/>
      <c r="I22" s="18">
        <f>I20</f>
        <v>18000</v>
      </c>
    </row>
    <row r="23" spans="1:9" ht="23.25" customHeight="1">
      <c r="A23" s="22" t="s">
        <v>23</v>
      </c>
      <c r="B23" s="12">
        <v>14</v>
      </c>
      <c r="C23" s="6" t="s">
        <v>188</v>
      </c>
      <c r="D23" s="21" t="s">
        <v>189</v>
      </c>
      <c r="E23" s="16"/>
      <c r="F23" s="16"/>
      <c r="G23" s="16"/>
      <c r="H23" s="16">
        <v>6000</v>
      </c>
      <c r="I23" s="16">
        <f>I22+E23-H23</f>
        <v>12000</v>
      </c>
    </row>
    <row r="24" spans="1:9" ht="23.25" customHeight="1">
      <c r="A24" s="22"/>
      <c r="B24" s="12"/>
      <c r="C24" s="20"/>
      <c r="D24" s="12"/>
      <c r="E24" s="16"/>
      <c r="F24" s="16"/>
      <c r="G24" s="16"/>
      <c r="H24" s="16"/>
      <c r="I24" s="16"/>
    </row>
    <row r="25" spans="1:10" ht="24" thickBot="1">
      <c r="A25" s="12"/>
      <c r="B25" s="12"/>
      <c r="C25" s="6"/>
      <c r="D25" s="12" t="s">
        <v>21</v>
      </c>
      <c r="E25" s="38">
        <f>SUM(E23:E24)</f>
        <v>0</v>
      </c>
      <c r="F25" s="38">
        <f>SUM(F23:F24)</f>
        <v>0</v>
      </c>
      <c r="G25" s="38">
        <f>SUM(G23:G24)</f>
        <v>0</v>
      </c>
      <c r="H25" s="38">
        <f>SUM(H23:H24)</f>
        <v>6000</v>
      </c>
      <c r="I25" s="38">
        <f>I23</f>
        <v>12000</v>
      </c>
      <c r="J25" s="1"/>
    </row>
    <row r="26" spans="1:10" ht="24.75" thickBot="1" thickTop="1">
      <c r="A26" s="22"/>
      <c r="B26" s="12"/>
      <c r="C26" s="6"/>
      <c r="D26" s="12" t="s">
        <v>19</v>
      </c>
      <c r="E26" s="39">
        <f>E20+E25</f>
        <v>36000</v>
      </c>
      <c r="F26" s="39">
        <f>F12+F25</f>
        <v>0</v>
      </c>
      <c r="G26" s="39">
        <f>G12+G25</f>
        <v>0</v>
      </c>
      <c r="H26" s="39">
        <f>H20+H25</f>
        <v>24000</v>
      </c>
      <c r="I26" s="39">
        <f>E26-H26</f>
        <v>12000</v>
      </c>
      <c r="J26" s="1"/>
    </row>
    <row r="27" spans="1:9" s="53" customFormat="1" ht="24" thickTop="1">
      <c r="A27" s="85"/>
      <c r="B27" s="86"/>
      <c r="C27" s="87"/>
      <c r="D27" s="86"/>
      <c r="E27" s="81"/>
      <c r="F27" s="81"/>
      <c r="G27" s="81"/>
      <c r="H27" s="81"/>
      <c r="I27" s="81"/>
    </row>
    <row r="28" spans="1:9" ht="23.25" customHeight="1">
      <c r="A28" s="23"/>
      <c r="B28" s="14"/>
      <c r="C28" s="9"/>
      <c r="D28" s="14" t="s">
        <v>20</v>
      </c>
      <c r="E28" s="18"/>
      <c r="F28" s="18"/>
      <c r="G28" s="18"/>
      <c r="H28" s="18"/>
      <c r="I28" s="18">
        <f>I26</f>
        <v>12000</v>
      </c>
    </row>
    <row r="29" spans="1:9" ht="23.25" customHeight="1">
      <c r="A29" s="22" t="s">
        <v>24</v>
      </c>
      <c r="B29" s="12">
        <v>16</v>
      </c>
      <c r="C29" s="1" t="s">
        <v>202</v>
      </c>
      <c r="D29" s="21" t="s">
        <v>203</v>
      </c>
      <c r="E29" s="16"/>
      <c r="F29" s="16"/>
      <c r="G29" s="16"/>
      <c r="H29" s="16">
        <v>6000</v>
      </c>
      <c r="I29" s="16">
        <f>I28-H29</f>
        <v>6000</v>
      </c>
    </row>
    <row r="30" spans="1:9" ht="23.25" customHeight="1">
      <c r="A30" s="12"/>
      <c r="B30" s="12"/>
      <c r="C30" s="6"/>
      <c r="D30" s="21"/>
      <c r="E30" s="16"/>
      <c r="F30" s="16"/>
      <c r="G30" s="16"/>
      <c r="H30" s="16"/>
      <c r="I30" s="16"/>
    </row>
    <row r="31" spans="1:10" ht="24" thickBot="1">
      <c r="A31" s="12"/>
      <c r="B31" s="12"/>
      <c r="C31" s="6"/>
      <c r="D31" s="12" t="s">
        <v>21</v>
      </c>
      <c r="E31" s="38">
        <f>SUM(E29:E30)</f>
        <v>0</v>
      </c>
      <c r="F31" s="38">
        <f>SUM(F29:F30)</f>
        <v>0</v>
      </c>
      <c r="G31" s="38">
        <f>SUM(G29:G30)</f>
        <v>0</v>
      </c>
      <c r="H31" s="38">
        <f>SUM(H29:H30)</f>
        <v>6000</v>
      </c>
      <c r="I31" s="38">
        <f>I29</f>
        <v>6000</v>
      </c>
      <c r="J31" s="1"/>
    </row>
    <row r="32" spans="1:10" ht="24.75" thickBot="1" thickTop="1">
      <c r="A32" s="22"/>
      <c r="B32" s="12"/>
      <c r="C32" s="6"/>
      <c r="D32" s="12" t="s">
        <v>19</v>
      </c>
      <c r="E32" s="39">
        <f>E26+E31</f>
        <v>36000</v>
      </c>
      <c r="F32" s="39">
        <f>F26+F31</f>
        <v>0</v>
      </c>
      <c r="G32" s="39">
        <f>G26+G31</f>
        <v>0</v>
      </c>
      <c r="H32" s="39">
        <f>H26+H31</f>
        <v>30000</v>
      </c>
      <c r="I32" s="39">
        <f>E32-H32</f>
        <v>6000</v>
      </c>
      <c r="J32" s="1"/>
    </row>
    <row r="33" spans="1:10" ht="24" thickTop="1">
      <c r="A33" s="102"/>
      <c r="B33" s="43"/>
      <c r="C33" s="44"/>
      <c r="D33" s="43"/>
      <c r="E33" s="19"/>
      <c r="F33" s="19"/>
      <c r="G33" s="19"/>
      <c r="H33" s="19"/>
      <c r="I33" s="19"/>
      <c r="J33" s="1"/>
    </row>
    <row r="34" spans="1:10" ht="23.25">
      <c r="A34" s="22"/>
      <c r="B34" s="12"/>
      <c r="C34" s="6"/>
      <c r="D34" s="12"/>
      <c r="E34" s="16"/>
      <c r="F34" s="16"/>
      <c r="G34" s="16"/>
      <c r="H34" s="16"/>
      <c r="I34" s="16"/>
      <c r="J34" s="1"/>
    </row>
    <row r="35" spans="1:10" s="53" customFormat="1" ht="23.25" customHeight="1">
      <c r="A35" s="84"/>
      <c r="B35" s="82"/>
      <c r="C35" s="83"/>
      <c r="D35" s="82"/>
      <c r="E35" s="93"/>
      <c r="F35" s="93"/>
      <c r="G35" s="93"/>
      <c r="H35" s="93"/>
      <c r="I35" s="93"/>
      <c r="J35" s="76"/>
    </row>
    <row r="36" spans="1:9" ht="23.25" customHeight="1">
      <c r="A36" s="14"/>
      <c r="B36" s="14"/>
      <c r="C36" s="9"/>
      <c r="D36" s="14" t="s">
        <v>20</v>
      </c>
      <c r="E36" s="18"/>
      <c r="F36" s="18"/>
      <c r="G36" s="18"/>
      <c r="H36" s="18"/>
      <c r="I36" s="18">
        <f>I32</f>
        <v>6000</v>
      </c>
    </row>
    <row r="37" spans="1:9" ht="23.25" customHeight="1">
      <c r="A37" s="22" t="s">
        <v>25</v>
      </c>
      <c r="B37" s="12">
        <v>15</v>
      </c>
      <c r="C37" s="1" t="s">
        <v>218</v>
      </c>
      <c r="D37" s="21" t="s">
        <v>219</v>
      </c>
      <c r="E37" s="16"/>
      <c r="F37" s="16"/>
      <c r="G37" s="16"/>
      <c r="H37" s="16">
        <v>6000</v>
      </c>
      <c r="I37" s="16">
        <f>I36-H37</f>
        <v>0</v>
      </c>
    </row>
    <row r="38" spans="1:9" ht="23.25" customHeight="1">
      <c r="A38" s="12"/>
      <c r="B38" s="12"/>
      <c r="C38" s="6"/>
      <c r="D38" s="21"/>
      <c r="E38" s="16"/>
      <c r="F38" s="16"/>
      <c r="G38" s="16"/>
      <c r="H38" s="16"/>
      <c r="I38" s="16"/>
    </row>
    <row r="39" spans="1:10" ht="24" thickBot="1">
      <c r="A39" s="12"/>
      <c r="B39" s="12"/>
      <c r="C39" s="6"/>
      <c r="D39" s="12" t="s">
        <v>21</v>
      </c>
      <c r="E39" s="38">
        <f>SUM(E37:E38)</f>
        <v>0</v>
      </c>
      <c r="F39" s="38">
        <f>SUM(F37:F38)</f>
        <v>0</v>
      </c>
      <c r="G39" s="38">
        <f>SUM(G37:G38)</f>
        <v>0</v>
      </c>
      <c r="H39" s="38">
        <f>SUM(H37:H38)</f>
        <v>6000</v>
      </c>
      <c r="I39" s="38">
        <f>I37</f>
        <v>0</v>
      </c>
      <c r="J39" s="1"/>
    </row>
    <row r="40" spans="1:10" ht="24.75" thickBot="1" thickTop="1">
      <c r="A40" s="22"/>
      <c r="B40" s="12"/>
      <c r="C40" s="6"/>
      <c r="D40" s="12" t="s">
        <v>19</v>
      </c>
      <c r="E40" s="39">
        <f>E32+E39</f>
        <v>36000</v>
      </c>
      <c r="F40" s="39">
        <f>F35+F39</f>
        <v>0</v>
      </c>
      <c r="G40" s="39">
        <f>G35+G39</f>
        <v>0</v>
      </c>
      <c r="H40" s="39">
        <f>H32+H39</f>
        <v>36000</v>
      </c>
      <c r="I40" s="39">
        <f>E40-H40</f>
        <v>0</v>
      </c>
      <c r="J40" s="1"/>
    </row>
    <row r="41" spans="1:9" s="53" customFormat="1" ht="24" thickTop="1">
      <c r="A41" s="85"/>
      <c r="B41" s="86"/>
      <c r="C41" s="87"/>
      <c r="D41" s="86"/>
      <c r="E41" s="81"/>
      <c r="F41" s="81"/>
      <c r="G41" s="81"/>
      <c r="H41" s="81"/>
      <c r="I41" s="81"/>
    </row>
    <row r="42" spans="1:9" ht="23.25" customHeight="1">
      <c r="A42" s="14"/>
      <c r="B42" s="14"/>
      <c r="C42" s="9"/>
      <c r="D42" s="14" t="s">
        <v>20</v>
      </c>
      <c r="E42" s="18"/>
      <c r="F42" s="18"/>
      <c r="G42" s="18"/>
      <c r="H42" s="18"/>
      <c r="I42" s="18">
        <f>I40</f>
        <v>0</v>
      </c>
    </row>
    <row r="43" spans="1:10" ht="23.25" customHeight="1">
      <c r="A43" s="22" t="s">
        <v>26</v>
      </c>
      <c r="B43" s="12">
        <v>29</v>
      </c>
      <c r="C43" s="26" t="s">
        <v>334</v>
      </c>
      <c r="D43" s="21" t="s">
        <v>48</v>
      </c>
      <c r="E43" s="16">
        <v>36000</v>
      </c>
      <c r="F43" s="16"/>
      <c r="G43" s="16"/>
      <c r="H43" s="16"/>
      <c r="I43" s="16">
        <f>I42+E43</f>
        <v>36000</v>
      </c>
      <c r="J43" s="25" t="s">
        <v>333</v>
      </c>
    </row>
    <row r="44" spans="1:9" ht="23.25" customHeight="1">
      <c r="A44" s="22"/>
      <c r="B44" s="12"/>
      <c r="C44" s="6" t="s">
        <v>335</v>
      </c>
      <c r="D44" s="12"/>
      <c r="E44" s="16"/>
      <c r="F44" s="16"/>
      <c r="G44" s="16"/>
      <c r="H44" s="16"/>
      <c r="I44" s="16"/>
    </row>
    <row r="45" spans="1:10" s="53" customFormat="1" ht="23.25" customHeight="1">
      <c r="A45" s="85"/>
      <c r="B45" s="86"/>
      <c r="C45" s="87"/>
      <c r="D45" s="86"/>
      <c r="E45" s="79"/>
      <c r="F45" s="79"/>
      <c r="G45" s="79"/>
      <c r="H45" s="79"/>
      <c r="I45" s="79"/>
      <c r="J45" s="76"/>
    </row>
    <row r="46" spans="1:10" ht="24" thickBot="1">
      <c r="A46" s="12"/>
      <c r="B46" s="12"/>
      <c r="C46" s="6"/>
      <c r="D46" s="12" t="s">
        <v>21</v>
      </c>
      <c r="E46" s="38">
        <f>SUM(E43:E45)</f>
        <v>36000</v>
      </c>
      <c r="F46" s="38">
        <f>SUM(F44:F44)</f>
        <v>0</v>
      </c>
      <c r="G46" s="38">
        <f>SUM(G44:G44)</f>
        <v>0</v>
      </c>
      <c r="H46" s="38">
        <f>SUM(H43:H45)</f>
        <v>0</v>
      </c>
      <c r="I46" s="38">
        <f>I43</f>
        <v>36000</v>
      </c>
      <c r="J46" s="1"/>
    </row>
    <row r="47" spans="1:10" ht="24.75" thickBot="1" thickTop="1">
      <c r="A47" s="22"/>
      <c r="B47" s="12"/>
      <c r="C47" s="6"/>
      <c r="D47" s="12" t="s">
        <v>19</v>
      </c>
      <c r="E47" s="39">
        <f>E40+E46</f>
        <v>72000</v>
      </c>
      <c r="F47" s="39">
        <f>F40+F46</f>
        <v>0</v>
      </c>
      <c r="G47" s="39">
        <f>G40+G46</f>
        <v>0</v>
      </c>
      <c r="H47" s="39">
        <f>H40+H46</f>
        <v>36000</v>
      </c>
      <c r="I47" s="39">
        <f>E47-H47</f>
        <v>36000</v>
      </c>
      <c r="J47" s="1"/>
    </row>
    <row r="48" spans="1:9" s="340" customFormat="1" ht="23.25" thickTop="1">
      <c r="A48" s="336"/>
      <c r="B48" s="337"/>
      <c r="C48" s="338"/>
      <c r="D48" s="337"/>
      <c r="E48" s="339"/>
      <c r="F48" s="339"/>
      <c r="G48" s="339"/>
      <c r="H48" s="339"/>
      <c r="I48" s="339"/>
    </row>
    <row r="49" spans="1:10" s="53" customFormat="1" ht="23.25" customHeight="1">
      <c r="A49" s="84"/>
      <c r="B49" s="82"/>
      <c r="C49" s="83"/>
      <c r="D49" s="96"/>
      <c r="E49" s="93"/>
      <c r="F49" s="93"/>
      <c r="G49" s="93"/>
      <c r="H49" s="93"/>
      <c r="I49" s="93"/>
      <c r="J49" s="76"/>
    </row>
    <row r="50" spans="1:9" ht="23.25" customHeight="1">
      <c r="A50" s="14"/>
      <c r="B50" s="14"/>
      <c r="C50" s="9"/>
      <c r="D50" s="14" t="s">
        <v>20</v>
      </c>
      <c r="E50" s="18"/>
      <c r="F50" s="18"/>
      <c r="G50" s="18"/>
      <c r="H50" s="18"/>
      <c r="I50" s="18">
        <f>I47</f>
        <v>36000</v>
      </c>
    </row>
    <row r="51" spans="1:9" ht="23.25" customHeight="1">
      <c r="A51" s="22" t="s">
        <v>29</v>
      </c>
      <c r="B51" s="12">
        <v>16</v>
      </c>
      <c r="C51" s="6" t="s">
        <v>383</v>
      </c>
      <c r="D51" s="21" t="s">
        <v>384</v>
      </c>
      <c r="E51" s="16"/>
      <c r="F51" s="16"/>
      <c r="G51" s="16"/>
      <c r="H51" s="16">
        <v>24000</v>
      </c>
      <c r="I51" s="16">
        <f>I50-H51</f>
        <v>12000</v>
      </c>
    </row>
    <row r="52" spans="1:9" ht="23.25" customHeight="1">
      <c r="A52" s="22"/>
      <c r="B52" s="12"/>
      <c r="C52" s="6"/>
      <c r="D52" s="21"/>
      <c r="E52" s="16"/>
      <c r="F52" s="16"/>
      <c r="G52" s="16"/>
      <c r="H52" s="16"/>
      <c r="I52" s="16"/>
    </row>
    <row r="53" spans="1:10" ht="24" thickBot="1">
      <c r="A53" s="12"/>
      <c r="B53" s="12"/>
      <c r="C53" s="6"/>
      <c r="D53" s="12" t="s">
        <v>21</v>
      </c>
      <c r="E53" s="38">
        <f>SUM(E51:E52)</f>
        <v>0</v>
      </c>
      <c r="F53" s="38">
        <f>SUM(F51:F52)</f>
        <v>0</v>
      </c>
      <c r="G53" s="38">
        <f>SUM(G51:G52)</f>
        <v>0</v>
      </c>
      <c r="H53" s="38">
        <f>SUM(H51:H52)</f>
        <v>24000</v>
      </c>
      <c r="I53" s="38">
        <f>I51</f>
        <v>12000</v>
      </c>
      <c r="J53" s="1"/>
    </row>
    <row r="54" spans="1:10" ht="24.75" thickBot="1" thickTop="1">
      <c r="A54" s="22"/>
      <c r="B54" s="12"/>
      <c r="C54" s="6"/>
      <c r="D54" s="12" t="s">
        <v>19</v>
      </c>
      <c r="E54" s="39">
        <f>E47+E53</f>
        <v>72000</v>
      </c>
      <c r="F54" s="39">
        <f>F47+F53</f>
        <v>0</v>
      </c>
      <c r="G54" s="39">
        <f>G47+G53</f>
        <v>0</v>
      </c>
      <c r="H54" s="39">
        <f>H47+H53</f>
        <v>60000</v>
      </c>
      <c r="I54" s="39">
        <f>E54-H54</f>
        <v>12000</v>
      </c>
      <c r="J54" s="1"/>
    </row>
    <row r="55" spans="1:10" s="53" customFormat="1" ht="23.25" customHeight="1" thickTop="1">
      <c r="A55" s="72"/>
      <c r="B55" s="72"/>
      <c r="C55" s="73"/>
      <c r="D55" s="72"/>
      <c r="E55" s="75"/>
      <c r="F55" s="75"/>
      <c r="G55" s="75"/>
      <c r="H55" s="75"/>
      <c r="I55" s="75"/>
      <c r="J55" s="76"/>
    </row>
    <row r="56" spans="1:9" ht="23.25" customHeight="1">
      <c r="A56" s="12"/>
      <c r="B56" s="12"/>
      <c r="C56" s="6"/>
      <c r="D56" s="12" t="s">
        <v>20</v>
      </c>
      <c r="E56" s="16"/>
      <c r="F56" s="16"/>
      <c r="G56" s="16"/>
      <c r="H56" s="16"/>
      <c r="I56" s="16">
        <f>I54</f>
        <v>12000</v>
      </c>
    </row>
    <row r="57" spans="1:9" ht="23.25" customHeight="1">
      <c r="A57" s="12" t="s">
        <v>30</v>
      </c>
      <c r="B57" s="12"/>
      <c r="C57" s="6"/>
      <c r="D57" s="21" t="s">
        <v>162</v>
      </c>
      <c r="E57" s="16">
        <v>-12000</v>
      </c>
      <c r="F57" s="16"/>
      <c r="G57" s="16"/>
      <c r="H57" s="16"/>
      <c r="I57" s="16">
        <f>I56+E57</f>
        <v>0</v>
      </c>
    </row>
    <row r="58" spans="1:10" s="53" customFormat="1" ht="23.25" customHeight="1">
      <c r="A58" s="72"/>
      <c r="B58" s="72"/>
      <c r="C58" s="73"/>
      <c r="D58" s="72"/>
      <c r="E58" s="75"/>
      <c r="F58" s="75"/>
      <c r="G58" s="75"/>
      <c r="H58" s="75"/>
      <c r="I58" s="75"/>
      <c r="J58" s="76"/>
    </row>
    <row r="59" spans="1:10" ht="24" thickBot="1">
      <c r="A59" s="12"/>
      <c r="B59" s="12"/>
      <c r="C59" s="6"/>
      <c r="D59" s="12" t="s">
        <v>21</v>
      </c>
      <c r="E59" s="38">
        <f>SUM(E57:E58)</f>
        <v>-12000</v>
      </c>
      <c r="F59" s="38">
        <f>SUM(F57:F58)</f>
        <v>0</v>
      </c>
      <c r="G59" s="38">
        <f>SUM(G57:G58)</f>
        <v>0</v>
      </c>
      <c r="H59" s="38">
        <f>SUM(H57:H58)</f>
        <v>0</v>
      </c>
      <c r="I59" s="38">
        <f>I57</f>
        <v>0</v>
      </c>
      <c r="J59" s="1"/>
    </row>
    <row r="60" spans="1:10" ht="24.75" thickBot="1" thickTop="1">
      <c r="A60" s="22"/>
      <c r="B60" s="12"/>
      <c r="C60" s="6"/>
      <c r="D60" s="12" t="s">
        <v>19</v>
      </c>
      <c r="E60" s="39">
        <f>E54+E59</f>
        <v>60000</v>
      </c>
      <c r="F60" s="39">
        <f>F54+F59</f>
        <v>0</v>
      </c>
      <c r="G60" s="39">
        <f>G54+G59</f>
        <v>0</v>
      </c>
      <c r="H60" s="39">
        <f>H54+H59</f>
        <v>60000</v>
      </c>
      <c r="I60" s="39">
        <f>E60-H60</f>
        <v>0</v>
      </c>
      <c r="J60" s="1"/>
    </row>
    <row r="61" spans="1:10" s="53" customFormat="1" ht="23.25" customHeight="1" thickTop="1">
      <c r="A61" s="74"/>
      <c r="B61" s="72"/>
      <c r="C61" s="73"/>
      <c r="D61" s="72"/>
      <c r="E61" s="75"/>
      <c r="F61" s="75"/>
      <c r="G61" s="75"/>
      <c r="H61" s="75"/>
      <c r="I61" s="75"/>
      <c r="J61" s="76"/>
    </row>
    <row r="62" spans="1:10" s="53" customFormat="1" ht="23.25" customHeight="1">
      <c r="A62" s="74"/>
      <c r="B62" s="72"/>
      <c r="C62" s="73"/>
      <c r="D62" s="89"/>
      <c r="E62" s="75"/>
      <c r="F62" s="75"/>
      <c r="G62" s="75"/>
      <c r="H62" s="75"/>
      <c r="I62" s="75"/>
      <c r="J62" s="76"/>
    </row>
    <row r="63" spans="1:10" s="53" customFormat="1" ht="23.25" customHeight="1">
      <c r="A63" s="84"/>
      <c r="B63" s="82"/>
      <c r="C63" s="83"/>
      <c r="D63" s="82"/>
      <c r="E63" s="93"/>
      <c r="F63" s="93"/>
      <c r="G63" s="93"/>
      <c r="H63" s="93"/>
      <c r="I63" s="93"/>
      <c r="J63" s="76"/>
    </row>
    <row r="64" s="53" customFormat="1" ht="23.25" customHeight="1">
      <c r="J64" s="76"/>
    </row>
  </sheetData>
  <sheetProtection/>
  <mergeCells count="8">
    <mergeCell ref="D6:D7"/>
    <mergeCell ref="C6:C7"/>
    <mergeCell ref="A1:H1"/>
    <mergeCell ref="E6:I6"/>
    <mergeCell ref="A2:I2"/>
    <mergeCell ref="A3:I3"/>
    <mergeCell ref="A4:I4"/>
    <mergeCell ref="A5:I5"/>
  </mergeCells>
  <printOptions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  <headerFooter alignWithMargins="0">
    <oddFooter>&amp;C&amp;"AngsanaUPC,ตัวปกติ"&amp;12หน้า &amp;"Arial,ตัวปกติ"&amp;10&amp;P</oddFooter>
  </headerFooter>
  <ignoredErrors>
    <ignoredError sqref="C10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3">
      <selection activeCell="D38" sqref="D38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6384" width="9.140625" style="1" customWidth="1"/>
  </cols>
  <sheetData>
    <row r="1" spans="1:9" s="2" customFormat="1" ht="23.2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</row>
    <row r="2" spans="1:13" ht="23.25">
      <c r="A2" s="374" t="s">
        <v>46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</row>
    <row r="3" spans="1:13" ht="23.25">
      <c r="A3" s="375" t="s">
        <v>166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</row>
    <row r="4" spans="1:13" ht="23.25">
      <c r="A4" s="374" t="s">
        <v>167</v>
      </c>
      <c r="B4" s="374"/>
      <c r="C4" s="374"/>
      <c r="D4" s="374"/>
      <c r="E4" s="374"/>
      <c r="F4" s="374"/>
      <c r="G4" s="374"/>
      <c r="H4" s="374"/>
      <c r="I4" s="374"/>
      <c r="J4" s="33"/>
      <c r="K4" s="33"/>
      <c r="L4" s="33"/>
      <c r="M4" s="33"/>
    </row>
    <row r="5" spans="1:13" ht="23.25">
      <c r="A5" s="376" t="s">
        <v>168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</row>
    <row r="6" spans="1:9" s="30" customFormat="1" ht="23.25" customHeight="1">
      <c r="A6" s="7" t="s">
        <v>0</v>
      </c>
      <c r="B6" s="4"/>
      <c r="C6" s="378" t="s">
        <v>3</v>
      </c>
      <c r="D6" s="378" t="s">
        <v>4</v>
      </c>
      <c r="E6" s="371" t="s">
        <v>10</v>
      </c>
      <c r="F6" s="372"/>
      <c r="G6" s="372"/>
      <c r="H6" s="372"/>
      <c r="I6" s="373"/>
    </row>
    <row r="7" spans="1:9" s="30" customFormat="1" ht="23.25" customHeight="1">
      <c r="A7" s="4" t="s">
        <v>1</v>
      </c>
      <c r="B7" s="4" t="s">
        <v>2</v>
      </c>
      <c r="C7" s="379"/>
      <c r="D7" s="379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</row>
    <row r="8" spans="1:9" ht="23.25" customHeight="1">
      <c r="A8" s="27" t="s">
        <v>15</v>
      </c>
      <c r="B8" s="27">
        <v>12</v>
      </c>
      <c r="C8" s="26" t="s">
        <v>170</v>
      </c>
      <c r="D8" s="26" t="s">
        <v>47</v>
      </c>
      <c r="E8" s="19">
        <v>1876900</v>
      </c>
      <c r="F8" s="19"/>
      <c r="G8" s="19"/>
      <c r="H8" s="19"/>
      <c r="I8" s="19">
        <f>E8</f>
        <v>1876900</v>
      </c>
    </row>
    <row r="9" spans="1:9" ht="23.25" customHeight="1">
      <c r="A9" s="12"/>
      <c r="B9" s="12"/>
      <c r="C9" s="6" t="s">
        <v>171</v>
      </c>
      <c r="D9" s="6"/>
      <c r="E9" s="16"/>
      <c r="F9" s="16"/>
      <c r="G9" s="16"/>
      <c r="H9" s="16"/>
      <c r="I9" s="16"/>
    </row>
    <row r="10" spans="1:9" ht="24" thickBot="1">
      <c r="A10" s="12"/>
      <c r="B10" s="12"/>
      <c r="C10" s="6"/>
      <c r="D10" s="12" t="s">
        <v>21</v>
      </c>
      <c r="E10" s="38">
        <f>SUM(E8:E9)</f>
        <v>1876900</v>
      </c>
      <c r="F10" s="38">
        <f>SUM(F8:F9)</f>
        <v>0</v>
      </c>
      <c r="G10" s="38">
        <f>SUM(G8:G9)</f>
        <v>0</v>
      </c>
      <c r="H10" s="38">
        <f>SUM(H8:H9)</f>
        <v>0</v>
      </c>
      <c r="I10" s="38">
        <f>I8</f>
        <v>1876900</v>
      </c>
    </row>
    <row r="11" spans="1:9" ht="24.75" thickBot="1" thickTop="1">
      <c r="A11" s="22"/>
      <c r="B11" s="12"/>
      <c r="C11" s="6"/>
      <c r="D11" s="12" t="s">
        <v>19</v>
      </c>
      <c r="E11" s="39">
        <f>E10</f>
        <v>1876900</v>
      </c>
      <c r="F11" s="39">
        <f>F10</f>
        <v>0</v>
      </c>
      <c r="G11" s="39">
        <f>G10</f>
        <v>0</v>
      </c>
      <c r="H11" s="39">
        <f>H10</f>
        <v>0</v>
      </c>
      <c r="I11" s="39">
        <f>E11-H11</f>
        <v>1876900</v>
      </c>
    </row>
    <row r="12" spans="1:9" ht="23.25" customHeight="1" thickTop="1">
      <c r="A12" s="22"/>
      <c r="B12" s="12"/>
      <c r="C12" s="6"/>
      <c r="D12" s="12"/>
      <c r="E12" s="16"/>
      <c r="F12" s="16"/>
      <c r="G12" s="16"/>
      <c r="H12" s="16"/>
      <c r="I12" s="16"/>
    </row>
    <row r="13" spans="1:9" ht="23.25" customHeight="1">
      <c r="A13" s="22"/>
      <c r="B13" s="12"/>
      <c r="C13" s="6"/>
      <c r="D13" s="22" t="s">
        <v>20</v>
      </c>
      <c r="E13" s="16"/>
      <c r="F13" s="16"/>
      <c r="G13" s="16"/>
      <c r="H13" s="16"/>
      <c r="I13" s="16">
        <f>I11</f>
        <v>1876900</v>
      </c>
    </row>
    <row r="14" spans="1:9" s="53" customFormat="1" ht="23.25" customHeight="1">
      <c r="A14" s="27" t="s">
        <v>29</v>
      </c>
      <c r="B14" s="27">
        <v>12</v>
      </c>
      <c r="C14" s="26" t="s">
        <v>374</v>
      </c>
      <c r="D14" s="26" t="s">
        <v>47</v>
      </c>
      <c r="E14" s="19">
        <v>233250</v>
      </c>
      <c r="F14" s="19"/>
      <c r="G14" s="19"/>
      <c r="H14" s="19"/>
      <c r="I14" s="19">
        <f>I13+E14-H14</f>
        <v>2110150</v>
      </c>
    </row>
    <row r="15" spans="1:9" s="53" customFormat="1" ht="23.25" customHeight="1">
      <c r="A15" s="12"/>
      <c r="B15" s="12"/>
      <c r="C15" s="6" t="s">
        <v>375</v>
      </c>
      <c r="D15" s="6"/>
      <c r="E15" s="16"/>
      <c r="F15" s="16"/>
      <c r="G15" s="16"/>
      <c r="H15" s="16"/>
      <c r="I15" s="16"/>
    </row>
    <row r="16" spans="1:9" s="53" customFormat="1" ht="23.25" customHeight="1">
      <c r="A16" s="74"/>
      <c r="B16" s="72"/>
      <c r="C16" s="73"/>
      <c r="D16" s="80"/>
      <c r="E16" s="75"/>
      <c r="F16" s="75"/>
      <c r="G16" s="75"/>
      <c r="H16" s="75"/>
      <c r="I16" s="75"/>
    </row>
    <row r="17" spans="1:9" ht="24" thickBot="1">
      <c r="A17" s="12"/>
      <c r="B17" s="12"/>
      <c r="C17" s="6"/>
      <c r="D17" s="12" t="s">
        <v>21</v>
      </c>
      <c r="E17" s="38">
        <f>SUM(E14:E16)</f>
        <v>233250</v>
      </c>
      <c r="F17" s="38">
        <f>SUM(F14:F16)</f>
        <v>0</v>
      </c>
      <c r="G17" s="38">
        <f>SUM(G14:G16)</f>
        <v>0</v>
      </c>
      <c r="H17" s="38">
        <f>SUM(H14:H16)</f>
        <v>0</v>
      </c>
      <c r="I17" s="38">
        <f>I14</f>
        <v>2110150</v>
      </c>
    </row>
    <row r="18" spans="1:9" ht="24.75" thickBot="1" thickTop="1">
      <c r="A18" s="22"/>
      <c r="B18" s="12"/>
      <c r="C18" s="6"/>
      <c r="D18" s="12" t="s">
        <v>19</v>
      </c>
      <c r="E18" s="39">
        <f>E17+E11</f>
        <v>2110150</v>
      </c>
      <c r="F18" s="39">
        <f>F17+F11</f>
        <v>0</v>
      </c>
      <c r="G18" s="39">
        <f>G17+G11</f>
        <v>0</v>
      </c>
      <c r="H18" s="39">
        <f>H17+H11</f>
        <v>0</v>
      </c>
      <c r="I18" s="39">
        <f>E18-H18</f>
        <v>2110150</v>
      </c>
    </row>
    <row r="19" spans="1:9" s="53" customFormat="1" ht="24" thickTop="1">
      <c r="A19" s="90"/>
      <c r="B19" s="91"/>
      <c r="C19" s="92"/>
      <c r="D19" s="91"/>
      <c r="E19" s="79"/>
      <c r="F19" s="79"/>
      <c r="G19" s="79"/>
      <c r="H19" s="79"/>
      <c r="I19" s="79"/>
    </row>
    <row r="20" spans="1:9" s="53" customFormat="1" ht="23.25">
      <c r="A20" s="74"/>
      <c r="B20" s="72"/>
      <c r="C20" s="73"/>
      <c r="D20" s="72"/>
      <c r="E20" s="75"/>
      <c r="F20" s="75"/>
      <c r="G20" s="75"/>
      <c r="H20" s="75"/>
      <c r="I20" s="75"/>
    </row>
    <row r="21" spans="1:9" s="53" customFormat="1" ht="23.25" customHeight="1">
      <c r="A21" s="84"/>
      <c r="B21" s="82"/>
      <c r="C21" s="83"/>
      <c r="D21" s="82"/>
      <c r="E21" s="93"/>
      <c r="F21" s="93"/>
      <c r="G21" s="93"/>
      <c r="H21" s="93"/>
      <c r="I21" s="93"/>
    </row>
    <row r="22" spans="1:9" ht="23.25">
      <c r="A22" s="14"/>
      <c r="B22" s="14"/>
      <c r="C22" s="106"/>
      <c r="D22" s="23" t="s">
        <v>20</v>
      </c>
      <c r="E22" s="18"/>
      <c r="F22" s="18"/>
      <c r="G22" s="18"/>
      <c r="H22" s="18"/>
      <c r="I22" s="18">
        <f>I18</f>
        <v>2110150</v>
      </c>
    </row>
    <row r="23" spans="1:9" ht="23.25">
      <c r="A23" s="27" t="s">
        <v>399</v>
      </c>
      <c r="B23" s="27">
        <v>17</v>
      </c>
      <c r="C23" s="26" t="s">
        <v>409</v>
      </c>
      <c r="D23" s="26" t="s">
        <v>90</v>
      </c>
      <c r="E23" s="19"/>
      <c r="F23" s="19"/>
      <c r="G23" s="19"/>
      <c r="H23" s="19">
        <v>2110150</v>
      </c>
      <c r="I23" s="19">
        <f>I22+E23-H23</f>
        <v>0</v>
      </c>
    </row>
    <row r="24" spans="1:9" ht="23.25">
      <c r="A24" s="12"/>
      <c r="B24" s="12"/>
      <c r="C24" s="6"/>
      <c r="D24" s="6"/>
      <c r="E24" s="16"/>
      <c r="F24" s="16"/>
      <c r="G24" s="16"/>
      <c r="H24" s="16"/>
      <c r="I24" s="16"/>
    </row>
    <row r="25" spans="1:9" ht="24" thickBot="1">
      <c r="A25" s="12"/>
      <c r="B25" s="12"/>
      <c r="C25" s="6"/>
      <c r="D25" s="12" t="s">
        <v>21</v>
      </c>
      <c r="E25" s="38">
        <f>SUM(E22:E24)</f>
        <v>0</v>
      </c>
      <c r="F25" s="38">
        <f>SUM(F22:F24)</f>
        <v>0</v>
      </c>
      <c r="G25" s="38">
        <f>SUM(G22:G24)</f>
        <v>0</v>
      </c>
      <c r="H25" s="38">
        <f>SUM(H22:H24)</f>
        <v>2110150</v>
      </c>
      <c r="I25" s="38">
        <f>I23</f>
        <v>0</v>
      </c>
    </row>
    <row r="26" spans="1:9" ht="24.75" thickBot="1" thickTop="1">
      <c r="A26" s="22"/>
      <c r="B26" s="12"/>
      <c r="C26" s="6"/>
      <c r="D26" s="12" t="s">
        <v>19</v>
      </c>
      <c r="E26" s="39">
        <f>E18</f>
        <v>2110150</v>
      </c>
      <c r="F26" s="39">
        <f>F25</f>
        <v>0</v>
      </c>
      <c r="G26" s="39">
        <f>G25</f>
        <v>0</v>
      </c>
      <c r="H26" s="39">
        <f>H25</f>
        <v>2110150</v>
      </c>
      <c r="I26" s="39">
        <f>E26-H26</f>
        <v>0</v>
      </c>
    </row>
    <row r="27" spans="1:9" ht="24" thickTop="1">
      <c r="A27" s="22"/>
      <c r="B27" s="12"/>
      <c r="C27" s="6"/>
      <c r="D27" s="12"/>
      <c r="E27" s="16"/>
      <c r="F27" s="16"/>
      <c r="G27" s="16"/>
      <c r="H27" s="16"/>
      <c r="I27" s="16"/>
    </row>
    <row r="28" spans="1:9" ht="23.25">
      <c r="A28" s="22"/>
      <c r="B28" s="12"/>
      <c r="C28" s="6"/>
      <c r="D28" s="22"/>
      <c r="E28" s="16"/>
      <c r="F28" s="16"/>
      <c r="G28" s="16"/>
      <c r="H28" s="16"/>
      <c r="I28" s="16"/>
    </row>
    <row r="29" spans="1:9" ht="23.25">
      <c r="A29" s="12"/>
      <c r="B29" s="12"/>
      <c r="C29" s="20"/>
      <c r="D29" s="20"/>
      <c r="E29" s="16"/>
      <c r="F29" s="16"/>
      <c r="G29" s="16"/>
      <c r="H29" s="16"/>
      <c r="I29" s="16"/>
    </row>
    <row r="30" spans="1:9" ht="23.25">
      <c r="A30" s="12"/>
      <c r="B30" s="12"/>
      <c r="C30" s="6"/>
      <c r="D30" s="6"/>
      <c r="E30" s="16"/>
      <c r="F30" s="16"/>
      <c r="G30" s="16"/>
      <c r="H30" s="16"/>
      <c r="I30" s="16"/>
    </row>
    <row r="31" spans="1:9" ht="23.25">
      <c r="A31" s="12"/>
      <c r="B31" s="12"/>
      <c r="C31" s="6"/>
      <c r="D31" s="12"/>
      <c r="E31" s="16"/>
      <c r="F31" s="16"/>
      <c r="G31" s="16"/>
      <c r="H31" s="16"/>
      <c r="I31" s="16"/>
    </row>
    <row r="32" spans="1:9" ht="23.25">
      <c r="A32" s="22"/>
      <c r="B32" s="12"/>
      <c r="C32" s="6"/>
      <c r="D32" s="12"/>
      <c r="E32" s="16"/>
      <c r="F32" s="16"/>
      <c r="G32" s="16"/>
      <c r="H32" s="16"/>
      <c r="I32" s="16"/>
    </row>
    <row r="33" spans="1:9" ht="23.25">
      <c r="A33" s="165"/>
      <c r="B33" s="77"/>
      <c r="C33" s="95"/>
      <c r="D33" s="77"/>
      <c r="E33" s="79"/>
      <c r="F33" s="79"/>
      <c r="G33" s="79"/>
      <c r="H33" s="79"/>
      <c r="I33" s="79"/>
    </row>
    <row r="34" spans="1:9" ht="23.25">
      <c r="A34" s="74"/>
      <c r="B34" s="72"/>
      <c r="C34" s="73"/>
      <c r="D34" s="72"/>
      <c r="E34" s="75"/>
      <c r="F34" s="75"/>
      <c r="G34" s="75"/>
      <c r="H34" s="75"/>
      <c r="I34" s="75"/>
    </row>
    <row r="35" spans="1:9" ht="23.25">
      <c r="A35" s="84"/>
      <c r="B35" s="82"/>
      <c r="C35" s="83"/>
      <c r="D35" s="82"/>
      <c r="E35" s="93"/>
      <c r="F35" s="93"/>
      <c r="G35" s="93"/>
      <c r="H35" s="93"/>
      <c r="I35" s="93"/>
    </row>
  </sheetData>
  <sheetProtection/>
  <mergeCells count="8">
    <mergeCell ref="A1:H1"/>
    <mergeCell ref="A2:I2"/>
    <mergeCell ref="A3:I3"/>
    <mergeCell ref="A4:I4"/>
    <mergeCell ref="A5:I5"/>
    <mergeCell ref="C6:C7"/>
    <mergeCell ref="D6:D7"/>
    <mergeCell ref="E6:I6"/>
  </mergeCells>
  <printOptions/>
  <pageMargins left="0.15748031496062992" right="0.15748031496062992" top="0.7874015748031497" bottom="0.5905511811023623" header="0.31496062992125984" footer="0.31496062992125984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xSplit="4" ySplit="1" topLeftCell="E5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60" sqref="D60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0" width="13.140625" style="25" customWidth="1"/>
    <col min="11" max="16384" width="9.140625" style="1" customWidth="1"/>
  </cols>
  <sheetData>
    <row r="1" spans="1:10" s="2" customFormat="1" ht="28.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74" t="s">
        <v>49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s="107" customFormat="1" ht="23.25">
      <c r="A3" s="375" t="s">
        <v>66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68" t="s">
        <v>177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76" t="s">
        <v>178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10" s="30" customFormat="1" ht="23.25" customHeight="1">
      <c r="A6" s="7" t="s">
        <v>0</v>
      </c>
      <c r="B6" s="4"/>
      <c r="C6" s="370" t="s">
        <v>3</v>
      </c>
      <c r="D6" s="370" t="s">
        <v>4</v>
      </c>
      <c r="E6" s="371" t="s">
        <v>10</v>
      </c>
      <c r="F6" s="372"/>
      <c r="G6" s="372"/>
      <c r="H6" s="372"/>
      <c r="I6" s="373"/>
      <c r="J6" s="29"/>
    </row>
    <row r="7" spans="1:10" s="30" customFormat="1" ht="23.25" customHeight="1">
      <c r="A7" s="4" t="s">
        <v>1</v>
      </c>
      <c r="B7" s="4" t="s">
        <v>2</v>
      </c>
      <c r="C7" s="370"/>
      <c r="D7" s="370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29"/>
    </row>
    <row r="8" spans="1:9" ht="23.25" customHeight="1">
      <c r="A8" s="27" t="s">
        <v>15</v>
      </c>
      <c r="B8" s="27">
        <v>17</v>
      </c>
      <c r="C8" s="26" t="s">
        <v>174</v>
      </c>
      <c r="D8" s="26" t="s">
        <v>53</v>
      </c>
      <c r="E8" s="19">
        <v>454700</v>
      </c>
      <c r="F8" s="19"/>
      <c r="G8" s="19"/>
      <c r="H8" s="19"/>
      <c r="I8" s="19">
        <f>E8</f>
        <v>454700</v>
      </c>
    </row>
    <row r="9" spans="1:9" ht="23.25" customHeight="1">
      <c r="A9" s="12"/>
      <c r="B9" s="12"/>
      <c r="C9" s="20" t="s">
        <v>175</v>
      </c>
      <c r="D9" s="6"/>
      <c r="E9" s="16"/>
      <c r="F9" s="16"/>
      <c r="G9" s="16"/>
      <c r="H9" s="16"/>
      <c r="I9" s="16"/>
    </row>
    <row r="10" spans="1:9" ht="23.25" customHeight="1">
      <c r="A10" s="22"/>
      <c r="B10" s="12"/>
      <c r="C10" s="6"/>
      <c r="D10" s="20"/>
      <c r="E10" s="16"/>
      <c r="F10" s="16"/>
      <c r="G10" s="16"/>
      <c r="H10" s="16"/>
      <c r="I10" s="16"/>
    </row>
    <row r="11" spans="1:9" ht="23.25" customHeight="1" thickBot="1">
      <c r="A11" s="12"/>
      <c r="B11" s="12"/>
      <c r="C11" s="6"/>
      <c r="D11" s="12" t="s">
        <v>18</v>
      </c>
      <c r="E11" s="38">
        <f>SUM(E8:E10)</f>
        <v>454700</v>
      </c>
      <c r="F11" s="38">
        <f>SUM(F10:F10)</f>
        <v>0</v>
      </c>
      <c r="G11" s="38">
        <f>SUM(G10:G10)</f>
        <v>0</v>
      </c>
      <c r="H11" s="38">
        <f>SUM(H10:H10)</f>
        <v>0</v>
      </c>
      <c r="I11" s="38">
        <f>I8</f>
        <v>454700</v>
      </c>
    </row>
    <row r="12" spans="1:9" ht="23.25" customHeight="1" thickBot="1" thickTop="1">
      <c r="A12" s="12"/>
      <c r="B12" s="12"/>
      <c r="C12" s="6"/>
      <c r="D12" s="12" t="s">
        <v>19</v>
      </c>
      <c r="E12" s="39">
        <f>E11</f>
        <v>454700</v>
      </c>
      <c r="F12" s="39">
        <f>F11</f>
        <v>0</v>
      </c>
      <c r="G12" s="39">
        <f>G11</f>
        <v>0</v>
      </c>
      <c r="H12" s="39">
        <f>H11</f>
        <v>0</v>
      </c>
      <c r="I12" s="39">
        <f>E12-H12</f>
        <v>454700</v>
      </c>
    </row>
    <row r="13" spans="1:10" s="53" customFormat="1" ht="23.25" customHeight="1" thickTop="1">
      <c r="A13" s="74"/>
      <c r="B13" s="72"/>
      <c r="C13" s="73"/>
      <c r="D13" s="72"/>
      <c r="E13" s="75"/>
      <c r="F13" s="75"/>
      <c r="G13" s="75"/>
      <c r="H13" s="75"/>
      <c r="I13" s="75"/>
      <c r="J13" s="76"/>
    </row>
    <row r="14" spans="1:10" s="208" customFormat="1" ht="23.25" customHeight="1">
      <c r="A14" s="203"/>
      <c r="B14" s="204"/>
      <c r="C14" s="205"/>
      <c r="D14" s="204" t="s">
        <v>20</v>
      </c>
      <c r="E14" s="206"/>
      <c r="F14" s="206"/>
      <c r="G14" s="206"/>
      <c r="H14" s="206"/>
      <c r="I14" s="206">
        <f>I12</f>
        <v>454700</v>
      </c>
      <c r="J14" s="207"/>
    </row>
    <row r="15" spans="1:10" s="208" customFormat="1" ht="23.25" customHeight="1">
      <c r="A15" s="209" t="s">
        <v>22</v>
      </c>
      <c r="B15" s="209">
        <v>16</v>
      </c>
      <c r="C15" s="210" t="s">
        <v>179</v>
      </c>
      <c r="D15" s="210" t="s">
        <v>180</v>
      </c>
      <c r="E15" s="211"/>
      <c r="F15" s="211"/>
      <c r="G15" s="211"/>
      <c r="H15" s="211">
        <v>234600</v>
      </c>
      <c r="I15" s="211">
        <f>I14-H15</f>
        <v>220100</v>
      </c>
      <c r="J15" s="207"/>
    </row>
    <row r="16" spans="1:10" s="208" customFormat="1" ht="23.25" customHeight="1">
      <c r="A16" s="212"/>
      <c r="B16" s="209"/>
      <c r="C16" s="210"/>
      <c r="D16" s="213"/>
      <c r="E16" s="211"/>
      <c r="F16" s="211"/>
      <c r="G16" s="211"/>
      <c r="H16" s="211"/>
      <c r="I16" s="211"/>
      <c r="J16" s="207"/>
    </row>
    <row r="17" spans="1:10" s="208" customFormat="1" ht="23.25" customHeight="1" thickBot="1">
      <c r="A17" s="209"/>
      <c r="B17" s="209"/>
      <c r="C17" s="210"/>
      <c r="D17" s="209" t="s">
        <v>18</v>
      </c>
      <c r="E17" s="214">
        <f>SUM(E15:E16)</f>
        <v>0</v>
      </c>
      <c r="F17" s="214">
        <f>SUM(F15:F16)</f>
        <v>0</v>
      </c>
      <c r="G17" s="214">
        <f>SUM(G15:G16)</f>
        <v>0</v>
      </c>
      <c r="H17" s="214">
        <f>SUM(H15:H16)</f>
        <v>234600</v>
      </c>
      <c r="I17" s="214">
        <f>I15</f>
        <v>220100</v>
      </c>
      <c r="J17" s="207"/>
    </row>
    <row r="18" spans="1:10" s="208" customFormat="1" ht="23.25" customHeight="1" thickBot="1" thickTop="1">
      <c r="A18" s="209"/>
      <c r="B18" s="209"/>
      <c r="C18" s="210"/>
      <c r="D18" s="209" t="s">
        <v>19</v>
      </c>
      <c r="E18" s="215">
        <f>E12+E17</f>
        <v>454700</v>
      </c>
      <c r="F18" s="215">
        <f>F12+F17</f>
        <v>0</v>
      </c>
      <c r="G18" s="215">
        <f>G12+G17</f>
        <v>0</v>
      </c>
      <c r="H18" s="215">
        <f>H12+H17</f>
        <v>234600</v>
      </c>
      <c r="I18" s="215">
        <f>E18-H18</f>
        <v>220100</v>
      </c>
      <c r="J18" s="207"/>
    </row>
    <row r="19" spans="1:10" s="208" customFormat="1" ht="23.25" customHeight="1" thickTop="1">
      <c r="A19" s="204"/>
      <c r="B19" s="204"/>
      <c r="C19" s="205"/>
      <c r="D19" s="204"/>
      <c r="E19" s="206"/>
      <c r="F19" s="206"/>
      <c r="G19" s="206"/>
      <c r="H19" s="206"/>
      <c r="I19" s="206"/>
      <c r="J19" s="207"/>
    </row>
    <row r="20" spans="1:10" s="208" customFormat="1" ht="23.25" customHeight="1">
      <c r="A20" s="216"/>
      <c r="B20" s="216"/>
      <c r="C20" s="217"/>
      <c r="D20" s="216"/>
      <c r="E20" s="218"/>
      <c r="F20" s="218"/>
      <c r="G20" s="218"/>
      <c r="H20" s="218"/>
      <c r="I20" s="218"/>
      <c r="J20" s="207"/>
    </row>
    <row r="21" spans="1:10" s="208" customFormat="1" ht="23.25" customHeight="1">
      <c r="A21" s="219"/>
      <c r="B21" s="219"/>
      <c r="C21" s="220"/>
      <c r="D21" s="219"/>
      <c r="E21" s="221"/>
      <c r="F21" s="221"/>
      <c r="G21" s="221"/>
      <c r="H21" s="221"/>
      <c r="I21" s="221"/>
      <c r="J21" s="207"/>
    </row>
    <row r="22" spans="1:9" ht="23.25" customHeight="1">
      <c r="A22" s="23"/>
      <c r="B22" s="14"/>
      <c r="C22" s="9"/>
      <c r="D22" s="14" t="s">
        <v>20</v>
      </c>
      <c r="E22" s="18"/>
      <c r="F22" s="18"/>
      <c r="G22" s="18"/>
      <c r="H22" s="18"/>
      <c r="I22" s="18">
        <f>I18</f>
        <v>220100</v>
      </c>
    </row>
    <row r="23" spans="1:9" ht="23.25" customHeight="1">
      <c r="A23" s="12" t="s">
        <v>23</v>
      </c>
      <c r="B23" s="12">
        <v>14</v>
      </c>
      <c r="C23" s="6" t="s">
        <v>190</v>
      </c>
      <c r="D23" s="6" t="s">
        <v>196</v>
      </c>
      <c r="E23" s="16"/>
      <c r="F23" s="16"/>
      <c r="G23" s="16"/>
      <c r="H23" s="16">
        <v>112875</v>
      </c>
      <c r="I23" s="16">
        <f>I22-H23</f>
        <v>107225</v>
      </c>
    </row>
    <row r="24" spans="1:9" ht="23.25" customHeight="1">
      <c r="A24" s="22"/>
      <c r="B24" s="12"/>
      <c r="C24" s="6"/>
      <c r="D24" s="20"/>
      <c r="E24" s="16"/>
      <c r="F24" s="16"/>
      <c r="G24" s="16"/>
      <c r="H24" s="16"/>
      <c r="I24" s="16"/>
    </row>
    <row r="25" spans="1:9" ht="23.25" customHeight="1" thickBot="1">
      <c r="A25" s="12"/>
      <c r="B25" s="12"/>
      <c r="C25" s="6"/>
      <c r="D25" s="12" t="s">
        <v>18</v>
      </c>
      <c r="E25" s="38">
        <f>SUM(E23:E24)</f>
        <v>0</v>
      </c>
      <c r="F25" s="38">
        <f>SUM(F23:F24)</f>
        <v>0</v>
      </c>
      <c r="G25" s="38">
        <f>SUM(G23:G24)</f>
        <v>0</v>
      </c>
      <c r="H25" s="38">
        <f>SUM(H23:H24)</f>
        <v>112875</v>
      </c>
      <c r="I25" s="38">
        <f>I23</f>
        <v>107225</v>
      </c>
    </row>
    <row r="26" spans="1:9" ht="23.25" customHeight="1" thickBot="1" thickTop="1">
      <c r="A26" s="12"/>
      <c r="B26" s="12"/>
      <c r="C26" s="6"/>
      <c r="D26" s="12" t="s">
        <v>19</v>
      </c>
      <c r="E26" s="39">
        <f>E18+E25</f>
        <v>454700</v>
      </c>
      <c r="F26" s="39">
        <f>F18+F25</f>
        <v>0</v>
      </c>
      <c r="G26" s="39">
        <f>G18+G25</f>
        <v>0</v>
      </c>
      <c r="H26" s="39">
        <f>H18+H25</f>
        <v>347475</v>
      </c>
      <c r="I26" s="39">
        <f>E26-H26</f>
        <v>107225</v>
      </c>
    </row>
    <row r="27" spans="1:10" s="53" customFormat="1" ht="24" customHeight="1" thickTop="1">
      <c r="A27" s="77"/>
      <c r="B27" s="77"/>
      <c r="C27" s="95"/>
      <c r="D27" s="77"/>
      <c r="E27" s="79"/>
      <c r="F27" s="79"/>
      <c r="G27" s="79"/>
      <c r="H27" s="79"/>
      <c r="I27" s="79"/>
      <c r="J27" s="76"/>
    </row>
    <row r="28" spans="1:9" ht="23.25" customHeight="1">
      <c r="A28" s="22"/>
      <c r="B28" s="12"/>
      <c r="C28" s="6"/>
      <c r="D28" s="12" t="s">
        <v>20</v>
      </c>
      <c r="E28" s="16"/>
      <c r="F28" s="16"/>
      <c r="G28" s="16"/>
      <c r="H28" s="16"/>
      <c r="I28" s="16">
        <f>I25</f>
        <v>107225</v>
      </c>
    </row>
    <row r="29" spans="1:9" ht="23.25" customHeight="1">
      <c r="A29" s="12" t="s">
        <v>24</v>
      </c>
      <c r="B29" s="12">
        <v>17</v>
      </c>
      <c r="C29" s="6" t="s">
        <v>204</v>
      </c>
      <c r="D29" s="6" t="s">
        <v>191</v>
      </c>
      <c r="E29" s="16"/>
      <c r="F29" s="16"/>
      <c r="G29" s="16"/>
      <c r="H29" s="16">
        <v>92775</v>
      </c>
      <c r="I29" s="16">
        <f>I28-H29</f>
        <v>14450</v>
      </c>
    </row>
    <row r="30" spans="1:9" ht="23.25" customHeight="1">
      <c r="A30" s="22"/>
      <c r="B30" s="12"/>
      <c r="C30" s="6"/>
      <c r="D30" s="20"/>
      <c r="E30" s="16"/>
      <c r="F30" s="16"/>
      <c r="G30" s="16"/>
      <c r="H30" s="16"/>
      <c r="I30" s="16"/>
    </row>
    <row r="31" spans="1:9" ht="23.25" customHeight="1" thickBot="1">
      <c r="A31" s="12"/>
      <c r="B31" s="12"/>
      <c r="C31" s="6"/>
      <c r="D31" s="12" t="s">
        <v>18</v>
      </c>
      <c r="E31" s="38">
        <f>SUM(E29:E30)</f>
        <v>0</v>
      </c>
      <c r="F31" s="38">
        <f>SUM(F29:F30)</f>
        <v>0</v>
      </c>
      <c r="G31" s="38">
        <f>SUM(G29:G30)</f>
        <v>0</v>
      </c>
      <c r="H31" s="38">
        <f>SUM(H29:H30)</f>
        <v>92775</v>
      </c>
      <c r="I31" s="38">
        <f>I29</f>
        <v>14450</v>
      </c>
    </row>
    <row r="32" spans="1:9" ht="23.25" customHeight="1" thickBot="1" thickTop="1">
      <c r="A32" s="12"/>
      <c r="B32" s="12"/>
      <c r="C32" s="6"/>
      <c r="D32" s="12" t="s">
        <v>19</v>
      </c>
      <c r="E32" s="39">
        <f>E26+E31</f>
        <v>454700</v>
      </c>
      <c r="F32" s="39">
        <f>F26+F31</f>
        <v>0</v>
      </c>
      <c r="G32" s="39">
        <f>G26+G31</f>
        <v>0</v>
      </c>
      <c r="H32" s="39">
        <f>H26+H31</f>
        <v>440250</v>
      </c>
      <c r="I32" s="39">
        <f>E32-H32</f>
        <v>14450</v>
      </c>
    </row>
    <row r="33" spans="1:10" s="53" customFormat="1" ht="23.25" customHeight="1" thickTop="1">
      <c r="A33" s="77"/>
      <c r="B33" s="77"/>
      <c r="C33" s="95"/>
      <c r="D33" s="77"/>
      <c r="E33" s="79"/>
      <c r="F33" s="79"/>
      <c r="G33" s="79"/>
      <c r="H33" s="79"/>
      <c r="I33" s="79"/>
      <c r="J33" s="76"/>
    </row>
    <row r="34" spans="1:10" s="53" customFormat="1" ht="23.25" customHeight="1">
      <c r="A34" s="72"/>
      <c r="B34" s="72"/>
      <c r="C34" s="73"/>
      <c r="D34" s="72"/>
      <c r="E34" s="75"/>
      <c r="F34" s="75"/>
      <c r="G34" s="75"/>
      <c r="H34" s="75"/>
      <c r="I34" s="75"/>
      <c r="J34" s="76"/>
    </row>
    <row r="35" spans="1:10" s="53" customFormat="1" ht="23.25" customHeight="1">
      <c r="A35" s="82"/>
      <c r="B35" s="82"/>
      <c r="C35" s="83"/>
      <c r="D35" s="82"/>
      <c r="E35" s="93"/>
      <c r="F35" s="93"/>
      <c r="G35" s="93"/>
      <c r="H35" s="93"/>
      <c r="I35" s="93"/>
      <c r="J35" s="76"/>
    </row>
    <row r="36" spans="1:9" ht="23.25" customHeight="1">
      <c r="A36" s="23"/>
      <c r="B36" s="14"/>
      <c r="C36" s="9"/>
      <c r="D36" s="14" t="s">
        <v>20</v>
      </c>
      <c r="E36" s="18"/>
      <c r="F36" s="18"/>
      <c r="G36" s="18"/>
      <c r="H36" s="18"/>
      <c r="I36" s="18">
        <f>I32</f>
        <v>14450</v>
      </c>
    </row>
    <row r="37" spans="1:9" ht="23.25" customHeight="1">
      <c r="A37" s="12" t="s">
        <v>25</v>
      </c>
      <c r="B37" s="12">
        <v>15</v>
      </c>
      <c r="C37" s="6" t="s">
        <v>220</v>
      </c>
      <c r="D37" s="6" t="s">
        <v>221</v>
      </c>
      <c r="E37" s="16"/>
      <c r="F37" s="16"/>
      <c r="G37" s="16"/>
      <c r="H37" s="16">
        <v>13200</v>
      </c>
      <c r="I37" s="16">
        <f>I36-H37</f>
        <v>1250</v>
      </c>
    </row>
    <row r="38" spans="1:9" ht="23.25" customHeight="1">
      <c r="A38" s="22"/>
      <c r="B38" s="12"/>
      <c r="C38" s="20"/>
      <c r="D38" s="6"/>
      <c r="E38" s="16"/>
      <c r="F38" s="16"/>
      <c r="G38" s="16"/>
      <c r="H38" s="16"/>
      <c r="I38" s="16"/>
    </row>
    <row r="39" spans="1:9" ht="23.25" customHeight="1">
      <c r="A39" s="22"/>
      <c r="B39" s="12"/>
      <c r="C39" s="20"/>
      <c r="D39" s="6"/>
      <c r="E39" s="19"/>
      <c r="F39" s="19"/>
      <c r="G39" s="19"/>
      <c r="H39" s="19"/>
      <c r="I39" s="19"/>
    </row>
    <row r="40" spans="1:9" ht="23.25" customHeight="1" thickBot="1">
      <c r="A40" s="12"/>
      <c r="B40" s="12"/>
      <c r="C40" s="6"/>
      <c r="D40" s="12" t="s">
        <v>18</v>
      </c>
      <c r="E40" s="38">
        <f>SUM(E37:E38)</f>
        <v>0</v>
      </c>
      <c r="F40" s="38">
        <f>SUM(F37:F38)</f>
        <v>0</v>
      </c>
      <c r="G40" s="38">
        <f>SUM(G37:G38)</f>
        <v>0</v>
      </c>
      <c r="H40" s="38">
        <f>SUM(H37:H38)</f>
        <v>13200</v>
      </c>
      <c r="I40" s="38">
        <f>I37</f>
        <v>1250</v>
      </c>
    </row>
    <row r="41" spans="1:9" ht="23.25" customHeight="1" thickBot="1" thickTop="1">
      <c r="A41" s="12"/>
      <c r="B41" s="12"/>
      <c r="C41" s="6"/>
      <c r="D41" s="12" t="s">
        <v>19</v>
      </c>
      <c r="E41" s="39">
        <f>E32+E40</f>
        <v>454700</v>
      </c>
      <c r="F41" s="39">
        <f>F32+F40</f>
        <v>0</v>
      </c>
      <c r="G41" s="39">
        <f>G32+G40</f>
        <v>0</v>
      </c>
      <c r="H41" s="39">
        <f>H32+H40</f>
        <v>453450</v>
      </c>
      <c r="I41" s="39">
        <f>E41-H41</f>
        <v>1250</v>
      </c>
    </row>
    <row r="42" spans="1:10" s="53" customFormat="1" ht="23.25" customHeight="1" thickTop="1">
      <c r="A42" s="85"/>
      <c r="B42" s="86"/>
      <c r="C42" s="87"/>
      <c r="D42" s="88"/>
      <c r="E42" s="75"/>
      <c r="F42" s="75"/>
      <c r="G42" s="75"/>
      <c r="H42" s="75"/>
      <c r="I42" s="75"/>
      <c r="J42" s="76"/>
    </row>
    <row r="43" spans="1:9" ht="23.25" customHeight="1">
      <c r="A43" s="23"/>
      <c r="B43" s="14"/>
      <c r="C43" s="9"/>
      <c r="D43" s="14" t="s">
        <v>20</v>
      </c>
      <c r="E43" s="18"/>
      <c r="F43" s="18"/>
      <c r="G43" s="18"/>
      <c r="H43" s="18"/>
      <c r="I43" s="18">
        <f>I40</f>
        <v>1250</v>
      </c>
    </row>
    <row r="44" spans="1:9" ht="23.25" customHeight="1">
      <c r="A44" s="12" t="s">
        <v>27</v>
      </c>
      <c r="B44" s="12">
        <v>20</v>
      </c>
      <c r="C44" s="26" t="s">
        <v>323</v>
      </c>
      <c r="D44" s="6" t="s">
        <v>325</v>
      </c>
      <c r="E44" s="16">
        <v>119000</v>
      </c>
      <c r="F44" s="16"/>
      <c r="G44" s="16"/>
      <c r="H44" s="16"/>
      <c r="I44" s="16">
        <f>I43+E44-H44</f>
        <v>120250</v>
      </c>
    </row>
    <row r="45" spans="1:9" ht="23.25" customHeight="1">
      <c r="A45" s="22"/>
      <c r="B45" s="12"/>
      <c r="C45" s="20" t="s">
        <v>324</v>
      </c>
      <c r="D45" s="20"/>
      <c r="E45" s="16"/>
      <c r="F45" s="16"/>
      <c r="G45" s="16"/>
      <c r="H45" s="16"/>
      <c r="I45" s="16"/>
    </row>
    <row r="46" spans="1:9" ht="23.25" customHeight="1" thickBot="1">
      <c r="A46" s="12"/>
      <c r="B46" s="12"/>
      <c r="C46" s="6"/>
      <c r="D46" s="12" t="s">
        <v>18</v>
      </c>
      <c r="E46" s="38">
        <f>SUM(E44:E45)</f>
        <v>119000</v>
      </c>
      <c r="F46" s="38">
        <f>SUM(F44:F45)</f>
        <v>0</v>
      </c>
      <c r="G46" s="38">
        <f>SUM(G44:G45)</f>
        <v>0</v>
      </c>
      <c r="H46" s="38">
        <f>SUM(H44:H45)</f>
        <v>0</v>
      </c>
      <c r="I46" s="38">
        <f>I44</f>
        <v>120250</v>
      </c>
    </row>
    <row r="47" spans="1:9" ht="23.25" customHeight="1" thickBot="1" thickTop="1">
      <c r="A47" s="12"/>
      <c r="B47" s="12"/>
      <c r="C47" s="6"/>
      <c r="D47" s="12" t="s">
        <v>19</v>
      </c>
      <c r="E47" s="39">
        <f>E41+E46</f>
        <v>573700</v>
      </c>
      <c r="F47" s="39">
        <f>F42+F46</f>
        <v>0</v>
      </c>
      <c r="G47" s="39">
        <f>G42+G46</f>
        <v>0</v>
      </c>
      <c r="H47" s="39">
        <f>H41+H46</f>
        <v>453450</v>
      </c>
      <c r="I47" s="39">
        <f>E47-H47</f>
        <v>120250</v>
      </c>
    </row>
    <row r="48" spans="1:9" ht="23.25" customHeight="1" thickTop="1">
      <c r="A48" s="27"/>
      <c r="B48" s="27"/>
      <c r="C48" s="28"/>
      <c r="D48" s="27"/>
      <c r="E48" s="19"/>
      <c r="F48" s="19"/>
      <c r="G48" s="19"/>
      <c r="H48" s="19"/>
      <c r="I48" s="19"/>
    </row>
    <row r="49" spans="1:10" s="53" customFormat="1" ht="23.25" customHeight="1">
      <c r="A49" s="82"/>
      <c r="B49" s="82"/>
      <c r="C49" s="83"/>
      <c r="D49" s="82"/>
      <c r="E49" s="93"/>
      <c r="F49" s="93"/>
      <c r="G49" s="93"/>
      <c r="H49" s="93"/>
      <c r="I49" s="93"/>
      <c r="J49" s="76"/>
    </row>
    <row r="50" spans="1:9" ht="23.25" customHeight="1">
      <c r="A50" s="23"/>
      <c r="B50" s="14"/>
      <c r="C50" s="9"/>
      <c r="D50" s="14" t="s">
        <v>20</v>
      </c>
      <c r="E50" s="18"/>
      <c r="F50" s="18"/>
      <c r="G50" s="18"/>
      <c r="H50" s="18"/>
      <c r="I50" s="18">
        <f>I47</f>
        <v>120250</v>
      </c>
    </row>
    <row r="51" spans="1:9" ht="23.25" customHeight="1">
      <c r="A51" s="12" t="s">
        <v>28</v>
      </c>
      <c r="B51" s="12">
        <v>16</v>
      </c>
      <c r="C51" s="26" t="s">
        <v>347</v>
      </c>
      <c r="D51" s="26" t="s">
        <v>348</v>
      </c>
      <c r="E51" s="16"/>
      <c r="F51" s="16"/>
      <c r="G51" s="16"/>
      <c r="H51" s="16">
        <v>120150</v>
      </c>
      <c r="I51" s="16">
        <f>I50+E51-H51</f>
        <v>100</v>
      </c>
    </row>
    <row r="52" spans="1:9" ht="23.25" customHeight="1">
      <c r="A52" s="22"/>
      <c r="B52" s="12"/>
      <c r="C52" s="6"/>
      <c r="D52" s="20"/>
      <c r="E52" s="16"/>
      <c r="F52" s="16"/>
      <c r="G52" s="16"/>
      <c r="H52" s="16"/>
      <c r="I52" s="16"/>
    </row>
    <row r="53" spans="1:9" ht="23.25" customHeight="1" thickBot="1">
      <c r="A53" s="12"/>
      <c r="B53" s="12"/>
      <c r="C53" s="6"/>
      <c r="D53" s="12" t="s">
        <v>18</v>
      </c>
      <c r="E53" s="38">
        <f>SUM(E51:E52)</f>
        <v>0</v>
      </c>
      <c r="F53" s="38">
        <f>SUM(F52:F52)</f>
        <v>0</v>
      </c>
      <c r="G53" s="38">
        <f>SUM(G52:G52)</f>
        <v>0</v>
      </c>
      <c r="H53" s="38">
        <f>SUM(H51:H52)</f>
        <v>120150</v>
      </c>
      <c r="I53" s="38">
        <f>I51</f>
        <v>100</v>
      </c>
    </row>
    <row r="54" spans="1:9" ht="23.25" customHeight="1" thickBot="1" thickTop="1">
      <c r="A54" s="12"/>
      <c r="B54" s="12"/>
      <c r="C54" s="6"/>
      <c r="D54" s="12" t="s">
        <v>19</v>
      </c>
      <c r="E54" s="39">
        <f>E47+E53</f>
        <v>573700</v>
      </c>
      <c r="F54" s="39">
        <f>F47+F53</f>
        <v>0</v>
      </c>
      <c r="G54" s="39">
        <f>G47+G53</f>
        <v>0</v>
      </c>
      <c r="H54" s="39">
        <f>H47+H53</f>
        <v>573600</v>
      </c>
      <c r="I54" s="39">
        <f>E54-H54</f>
        <v>100</v>
      </c>
    </row>
    <row r="55" spans="1:10" s="53" customFormat="1" ht="23.25" customHeight="1" thickTop="1">
      <c r="A55" s="77"/>
      <c r="B55" s="77"/>
      <c r="C55" s="95"/>
      <c r="D55" s="77"/>
      <c r="E55" s="79"/>
      <c r="F55" s="79"/>
      <c r="G55" s="79"/>
      <c r="H55" s="79"/>
      <c r="I55" s="79"/>
      <c r="J55" s="76"/>
    </row>
    <row r="56" spans="1:9" ht="23.25" customHeight="1">
      <c r="A56" s="22"/>
      <c r="B56" s="12"/>
      <c r="C56" s="6"/>
      <c r="D56" s="12" t="s">
        <v>20</v>
      </c>
      <c r="E56" s="16"/>
      <c r="F56" s="16"/>
      <c r="G56" s="16"/>
      <c r="H56" s="16"/>
      <c r="I56" s="16">
        <f>I54</f>
        <v>100</v>
      </c>
    </row>
    <row r="57" spans="1:9" ht="23.25" customHeight="1">
      <c r="A57" s="12" t="s">
        <v>30</v>
      </c>
      <c r="B57" s="12">
        <v>1</v>
      </c>
      <c r="C57" s="26" t="s">
        <v>393</v>
      </c>
      <c r="D57" s="6" t="s">
        <v>325</v>
      </c>
      <c r="E57" s="16">
        <v>109000</v>
      </c>
      <c r="F57" s="16"/>
      <c r="G57" s="16"/>
      <c r="H57" s="16"/>
      <c r="I57" s="16">
        <f>I56+E57-H57</f>
        <v>109100</v>
      </c>
    </row>
    <row r="58" spans="1:9" ht="23.25" customHeight="1">
      <c r="A58" s="22"/>
      <c r="B58" s="12"/>
      <c r="C58" s="20" t="s">
        <v>394</v>
      </c>
      <c r="D58" s="20"/>
      <c r="E58" s="16"/>
      <c r="F58" s="16"/>
      <c r="G58" s="16"/>
      <c r="H58" s="16"/>
      <c r="I58" s="16"/>
    </row>
    <row r="59" spans="1:9" ht="23.25" customHeight="1">
      <c r="A59" s="12"/>
      <c r="B59" s="12">
        <v>17</v>
      </c>
      <c r="C59" s="6" t="s">
        <v>404</v>
      </c>
      <c r="D59" s="6" t="s">
        <v>405</v>
      </c>
      <c r="E59" s="16"/>
      <c r="F59" s="16"/>
      <c r="G59" s="16"/>
      <c r="H59" s="16">
        <v>101250</v>
      </c>
      <c r="I59" s="16">
        <f>I57+E59-H59</f>
        <v>7850</v>
      </c>
    </row>
    <row r="60" spans="1:9" ht="23.25" customHeight="1">
      <c r="A60" s="12"/>
      <c r="B60" s="12"/>
      <c r="C60" s="6"/>
      <c r="D60" s="6"/>
      <c r="E60" s="19"/>
      <c r="F60" s="19"/>
      <c r="G60" s="19"/>
      <c r="H60" s="19"/>
      <c r="I60" s="19"/>
    </row>
    <row r="61" spans="1:9" ht="23.25" customHeight="1">
      <c r="A61" s="12"/>
      <c r="B61" s="12"/>
      <c r="C61" s="6"/>
      <c r="D61" s="12" t="s">
        <v>18</v>
      </c>
      <c r="E61" s="36">
        <f>SUM(E57:E60)</f>
        <v>109000</v>
      </c>
      <c r="F61" s="36">
        <f>SUM(F59:F59)</f>
        <v>0</v>
      </c>
      <c r="G61" s="36">
        <f>SUM(G59:G59)</f>
        <v>0</v>
      </c>
      <c r="H61" s="36">
        <f>SUM(H59:H59)</f>
        <v>101250</v>
      </c>
      <c r="I61" s="36">
        <f>I59</f>
        <v>7850</v>
      </c>
    </row>
    <row r="62" spans="1:9" ht="23.25" customHeight="1" thickBot="1">
      <c r="A62" s="12"/>
      <c r="B62" s="12"/>
      <c r="C62" s="6"/>
      <c r="D62" s="12" t="s">
        <v>19</v>
      </c>
      <c r="E62" s="38">
        <f>E54+E61</f>
        <v>682700</v>
      </c>
      <c r="F62" s="38">
        <f>F50+F61</f>
        <v>0</v>
      </c>
      <c r="G62" s="38">
        <f>G50+G61</f>
        <v>0</v>
      </c>
      <c r="H62" s="38">
        <f>H54+H61</f>
        <v>674850</v>
      </c>
      <c r="I62" s="38">
        <f>E62-H62</f>
        <v>7850</v>
      </c>
    </row>
    <row r="63" spans="1:9" ht="23.25" customHeight="1" thickTop="1">
      <c r="A63" s="99"/>
      <c r="B63" s="99"/>
      <c r="C63" s="100"/>
      <c r="D63" s="99"/>
      <c r="E63" s="101"/>
      <c r="F63" s="101"/>
      <c r="G63" s="101"/>
      <c r="H63" s="101"/>
      <c r="I63" s="101"/>
    </row>
    <row r="64" spans="1:9" ht="23.25" customHeight="1">
      <c r="A64" s="23"/>
      <c r="B64" s="14"/>
      <c r="C64" s="9"/>
      <c r="D64" s="14" t="s">
        <v>20</v>
      </c>
      <c r="E64" s="18"/>
      <c r="F64" s="18"/>
      <c r="G64" s="18"/>
      <c r="H64" s="18"/>
      <c r="I64" s="18">
        <f>I62</f>
        <v>7850</v>
      </c>
    </row>
    <row r="65" spans="1:9" ht="23.25" customHeight="1">
      <c r="A65" s="12" t="s">
        <v>31</v>
      </c>
      <c r="B65" s="12">
        <v>18</v>
      </c>
      <c r="C65" s="26" t="s">
        <v>434</v>
      </c>
      <c r="D65" s="26" t="s">
        <v>343</v>
      </c>
      <c r="E65" s="16"/>
      <c r="F65" s="16"/>
      <c r="G65" s="16"/>
      <c r="H65" s="16">
        <v>7850</v>
      </c>
      <c r="I65" s="16">
        <f>I64+E65-H65</f>
        <v>0</v>
      </c>
    </row>
    <row r="66" spans="1:9" ht="23.25" customHeight="1">
      <c r="A66" s="22"/>
      <c r="B66" s="12"/>
      <c r="C66" s="20"/>
      <c r="D66" s="6"/>
      <c r="E66" s="16"/>
      <c r="F66" s="16"/>
      <c r="G66" s="16"/>
      <c r="H66" s="16"/>
      <c r="I66" s="16"/>
    </row>
    <row r="67" spans="1:9" ht="23.25" customHeight="1">
      <c r="A67" s="23"/>
      <c r="B67" s="14"/>
      <c r="C67" s="106"/>
      <c r="D67" s="9"/>
      <c r="E67" s="19"/>
      <c r="F67" s="19"/>
      <c r="G67" s="19"/>
      <c r="H67" s="19"/>
      <c r="I67" s="19"/>
    </row>
    <row r="68" spans="1:9" ht="23.25" customHeight="1" thickBot="1">
      <c r="A68" s="12"/>
      <c r="B68" s="12"/>
      <c r="C68" s="6"/>
      <c r="D68" s="12" t="s">
        <v>18</v>
      </c>
      <c r="E68" s="38">
        <f>SUM(E65:E66)</f>
        <v>0</v>
      </c>
      <c r="F68" s="38">
        <f>SUM(F65:F66)</f>
        <v>0</v>
      </c>
      <c r="G68" s="38">
        <f>SUM(G65:G66)</f>
        <v>0</v>
      </c>
      <c r="H68" s="38">
        <f>SUM(H65:H66)</f>
        <v>7850</v>
      </c>
      <c r="I68" s="38">
        <f>I65</f>
        <v>0</v>
      </c>
    </row>
    <row r="69" spans="1:9" ht="23.25" customHeight="1" thickBot="1" thickTop="1">
      <c r="A69" s="12"/>
      <c r="B69" s="12"/>
      <c r="C69" s="6"/>
      <c r="D69" s="12" t="s">
        <v>19</v>
      </c>
      <c r="E69" s="39">
        <f>E62+E68</f>
        <v>682700</v>
      </c>
      <c r="F69" s="39">
        <f>F62+F68</f>
        <v>0</v>
      </c>
      <c r="G69" s="39">
        <f>G62+G68</f>
        <v>0</v>
      </c>
      <c r="H69" s="39">
        <f>H62+H68</f>
        <v>682700</v>
      </c>
      <c r="I69" s="39">
        <f>E69-H69</f>
        <v>0</v>
      </c>
    </row>
    <row r="70" spans="1:10" s="53" customFormat="1" ht="23.25" customHeight="1" thickTop="1">
      <c r="A70" s="77"/>
      <c r="B70" s="77"/>
      <c r="C70" s="95"/>
      <c r="D70" s="77"/>
      <c r="E70" s="79"/>
      <c r="F70" s="79"/>
      <c r="G70" s="79"/>
      <c r="H70" s="79"/>
      <c r="I70" s="79"/>
      <c r="J70" s="76"/>
    </row>
    <row r="71" spans="1:10" s="53" customFormat="1" ht="23.25" customHeight="1">
      <c r="A71" s="74"/>
      <c r="B71" s="72"/>
      <c r="C71" s="73"/>
      <c r="D71" s="72"/>
      <c r="E71" s="75"/>
      <c r="F71" s="75"/>
      <c r="G71" s="75"/>
      <c r="H71" s="75"/>
      <c r="I71" s="75"/>
      <c r="J71" s="76"/>
    </row>
    <row r="72" spans="1:10" s="53" customFormat="1" ht="23.25" customHeight="1">
      <c r="A72" s="72"/>
      <c r="B72" s="72"/>
      <c r="C72" s="73"/>
      <c r="D72" s="73"/>
      <c r="E72" s="75"/>
      <c r="F72" s="75"/>
      <c r="G72" s="75"/>
      <c r="H72" s="75"/>
      <c r="I72" s="75"/>
      <c r="J72" s="76"/>
    </row>
    <row r="73" spans="1:10" s="53" customFormat="1" ht="23.25" customHeight="1">
      <c r="A73" s="72"/>
      <c r="B73" s="72"/>
      <c r="C73" s="73"/>
      <c r="D73" s="73"/>
      <c r="E73" s="75"/>
      <c r="F73" s="75"/>
      <c r="G73" s="75"/>
      <c r="H73" s="75"/>
      <c r="I73" s="75"/>
      <c r="J73" s="76"/>
    </row>
    <row r="74" spans="1:10" s="53" customFormat="1" ht="23.25" customHeight="1">
      <c r="A74" s="72"/>
      <c r="B74" s="72"/>
      <c r="C74" s="73"/>
      <c r="D74" s="73"/>
      <c r="E74" s="75"/>
      <c r="F74" s="75"/>
      <c r="G74" s="75"/>
      <c r="H74" s="75"/>
      <c r="I74" s="75"/>
      <c r="J74" s="76"/>
    </row>
    <row r="75" spans="1:10" s="53" customFormat="1" ht="23.25" customHeight="1">
      <c r="A75" s="72"/>
      <c r="B75" s="72"/>
      <c r="C75" s="73"/>
      <c r="D75" s="72"/>
      <c r="E75" s="75"/>
      <c r="F75" s="75"/>
      <c r="G75" s="75"/>
      <c r="H75" s="75"/>
      <c r="I75" s="75"/>
      <c r="J75" s="76"/>
    </row>
    <row r="76" spans="1:10" s="53" customFormat="1" ht="23.25" customHeight="1">
      <c r="A76" s="72"/>
      <c r="B76" s="72"/>
      <c r="C76" s="73"/>
      <c r="D76" s="72"/>
      <c r="E76" s="75"/>
      <c r="F76" s="75"/>
      <c r="G76" s="75"/>
      <c r="H76" s="75"/>
      <c r="I76" s="75"/>
      <c r="J76" s="76"/>
    </row>
    <row r="77" spans="1:10" s="53" customFormat="1" ht="23.25">
      <c r="A77" s="82"/>
      <c r="B77" s="82"/>
      <c r="C77" s="83"/>
      <c r="D77" s="82"/>
      <c r="E77" s="93"/>
      <c r="F77" s="93"/>
      <c r="G77" s="93"/>
      <c r="H77" s="93"/>
      <c r="I77" s="93"/>
      <c r="J77" s="76"/>
    </row>
    <row r="78" s="53" customFormat="1" ht="23.25">
      <c r="J78" s="76"/>
    </row>
  </sheetData>
  <sheetProtection/>
  <mergeCells count="8">
    <mergeCell ref="A1:H1"/>
    <mergeCell ref="E6:I6"/>
    <mergeCell ref="C6:C7"/>
    <mergeCell ref="D6:D7"/>
    <mergeCell ref="A2:I2"/>
    <mergeCell ref="A3:I3"/>
    <mergeCell ref="A4:I4"/>
    <mergeCell ref="A5:I5"/>
  </mergeCells>
  <printOptions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  <headerFooter alignWithMargins="0">
    <oddFooter>&amp;C&amp;"Angsana New,ตัวปกติ"&amp;14หน้า &amp;P</oddFooter>
  </headerFooter>
  <ignoredErrors>
    <ignoredError sqref="I62 I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37">
      <selection activeCell="D51" sqref="D51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0" width="13.140625" style="25" customWidth="1"/>
    <col min="11" max="16384" width="9.140625" style="1" customWidth="1"/>
  </cols>
  <sheetData>
    <row r="1" spans="1:10" s="2" customFormat="1" ht="28.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74" t="s">
        <v>46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ht="23.25">
      <c r="A3" s="375" t="s">
        <v>60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68" t="s">
        <v>172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76" t="s">
        <v>173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10" s="30" customFormat="1" ht="23.25" customHeight="1">
      <c r="A6" s="7" t="s">
        <v>0</v>
      </c>
      <c r="B6" s="4"/>
      <c r="C6" s="378" t="s">
        <v>3</v>
      </c>
      <c r="D6" s="378" t="s">
        <v>4</v>
      </c>
      <c r="E6" s="371" t="s">
        <v>10</v>
      </c>
      <c r="F6" s="372"/>
      <c r="G6" s="372"/>
      <c r="H6" s="372"/>
      <c r="I6" s="373"/>
      <c r="J6" s="29"/>
    </row>
    <row r="7" spans="1:10" s="30" customFormat="1" ht="23.25" customHeight="1">
      <c r="A7" s="4" t="s">
        <v>1</v>
      </c>
      <c r="B7" s="4" t="s">
        <v>2</v>
      </c>
      <c r="C7" s="379"/>
      <c r="D7" s="379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29"/>
    </row>
    <row r="8" spans="1:9" ht="23.25" customHeight="1">
      <c r="A8" s="27" t="s">
        <v>15</v>
      </c>
      <c r="B8" s="27">
        <v>19</v>
      </c>
      <c r="C8" s="26" t="s">
        <v>174</v>
      </c>
      <c r="D8" s="26" t="s">
        <v>61</v>
      </c>
      <c r="E8" s="19">
        <v>53100</v>
      </c>
      <c r="F8" s="19"/>
      <c r="G8" s="19"/>
      <c r="H8" s="19"/>
      <c r="I8" s="19">
        <f>E8</f>
        <v>53100</v>
      </c>
    </row>
    <row r="9" spans="1:9" ht="23.25" customHeight="1">
      <c r="A9" s="12"/>
      <c r="B9" s="12"/>
      <c r="C9" s="20" t="s">
        <v>175</v>
      </c>
      <c r="D9" s="6" t="s">
        <v>62</v>
      </c>
      <c r="E9" s="16"/>
      <c r="F9" s="16"/>
      <c r="G9" s="16"/>
      <c r="H9" s="16"/>
      <c r="I9" s="16"/>
    </row>
    <row r="10" spans="1:9" ht="23.25" customHeight="1">
      <c r="A10" s="12"/>
      <c r="B10" s="12"/>
      <c r="C10" s="6"/>
      <c r="D10" s="12"/>
      <c r="E10" s="16"/>
      <c r="F10" s="16"/>
      <c r="G10" s="16"/>
      <c r="H10" s="16"/>
      <c r="I10" s="16"/>
    </row>
    <row r="11" spans="1:9" ht="23.25" customHeight="1" thickBot="1">
      <c r="A11" s="12"/>
      <c r="B11" s="12"/>
      <c r="C11" s="6"/>
      <c r="D11" s="12" t="s">
        <v>18</v>
      </c>
      <c r="E11" s="38">
        <f>SUM(E8:E10)</f>
        <v>53100</v>
      </c>
      <c r="F11" s="38">
        <f>SUM(F8:F10)</f>
        <v>0</v>
      </c>
      <c r="G11" s="38">
        <f>SUM(G8:G10)</f>
        <v>0</v>
      </c>
      <c r="H11" s="38">
        <f>SUM(H8:H10)</f>
        <v>0</v>
      </c>
      <c r="I11" s="38">
        <f>I8</f>
        <v>53100</v>
      </c>
    </row>
    <row r="12" spans="1:9" ht="23.25" customHeight="1" thickBot="1" thickTop="1">
      <c r="A12" s="12"/>
      <c r="B12" s="12"/>
      <c r="C12" s="6"/>
      <c r="D12" s="12" t="s">
        <v>19</v>
      </c>
      <c r="E12" s="39">
        <f>E11</f>
        <v>53100</v>
      </c>
      <c r="F12" s="39">
        <f>F11</f>
        <v>0</v>
      </c>
      <c r="G12" s="39">
        <f>G11</f>
        <v>0</v>
      </c>
      <c r="H12" s="39">
        <f>H11</f>
        <v>0</v>
      </c>
      <c r="I12" s="39">
        <f>I11</f>
        <v>53100</v>
      </c>
    </row>
    <row r="13" spans="1:10" s="53" customFormat="1" ht="23.25" customHeight="1" thickTop="1">
      <c r="A13" s="74"/>
      <c r="B13" s="72"/>
      <c r="C13" s="73"/>
      <c r="D13" s="72"/>
      <c r="E13" s="75"/>
      <c r="F13" s="75"/>
      <c r="G13" s="75"/>
      <c r="H13" s="16"/>
      <c r="I13" s="75"/>
      <c r="J13" s="76"/>
    </row>
    <row r="14" spans="1:9" ht="23.25" customHeight="1">
      <c r="A14" s="22"/>
      <c r="B14" s="12"/>
      <c r="C14" s="6"/>
      <c r="D14" s="22" t="s">
        <v>20</v>
      </c>
      <c r="E14" s="16"/>
      <c r="F14" s="16"/>
      <c r="G14" s="16"/>
      <c r="H14" s="16"/>
      <c r="I14" s="16">
        <f>I12</f>
        <v>53100</v>
      </c>
    </row>
    <row r="15" spans="1:9" ht="23.25" customHeight="1">
      <c r="A15" s="22" t="s">
        <v>24</v>
      </c>
      <c r="B15" s="12">
        <v>17</v>
      </c>
      <c r="C15" s="6" t="s">
        <v>207</v>
      </c>
      <c r="D15" s="104" t="s">
        <v>71</v>
      </c>
      <c r="E15" s="16"/>
      <c r="F15" s="16"/>
      <c r="G15" s="16"/>
      <c r="H15" s="16">
        <v>1000</v>
      </c>
      <c r="I15" s="16">
        <f>I14+E15-H15</f>
        <v>52100</v>
      </c>
    </row>
    <row r="16" spans="1:9" ht="23.25" customHeight="1">
      <c r="A16" s="22"/>
      <c r="B16" s="12"/>
      <c r="C16" s="6"/>
      <c r="D16" s="104"/>
      <c r="E16" s="16"/>
      <c r="F16" s="16"/>
      <c r="G16" s="16"/>
      <c r="H16" s="16"/>
      <c r="I16" s="16"/>
    </row>
    <row r="17" spans="1:10" s="53" customFormat="1" ht="23.25" customHeight="1">
      <c r="A17" s="72"/>
      <c r="B17" s="72"/>
      <c r="C17" s="73"/>
      <c r="D17" s="72"/>
      <c r="E17" s="75"/>
      <c r="F17" s="75"/>
      <c r="G17" s="75"/>
      <c r="H17" s="16"/>
      <c r="I17" s="75"/>
      <c r="J17" s="76"/>
    </row>
    <row r="18" spans="1:9" ht="23.25" customHeight="1" thickBot="1">
      <c r="A18" s="12"/>
      <c r="B18" s="12"/>
      <c r="C18" s="6"/>
      <c r="D18" s="12" t="s">
        <v>18</v>
      </c>
      <c r="E18" s="38">
        <f>SUM(E15:E17)</f>
        <v>0</v>
      </c>
      <c r="F18" s="38">
        <f>SUM(F15:F17)</f>
        <v>0</v>
      </c>
      <c r="G18" s="38">
        <f>SUM(G15:G17)</f>
        <v>0</v>
      </c>
      <c r="H18" s="38">
        <f>SUM(H15:H17)</f>
        <v>1000</v>
      </c>
      <c r="I18" s="38">
        <f>I15</f>
        <v>52100</v>
      </c>
    </row>
    <row r="19" spans="1:9" ht="23.25" customHeight="1" thickBot="1" thickTop="1">
      <c r="A19" s="43"/>
      <c r="B19" s="43"/>
      <c r="C19" s="44"/>
      <c r="D19" s="43" t="s">
        <v>19</v>
      </c>
      <c r="E19" s="39">
        <f>E12+E18</f>
        <v>53100</v>
      </c>
      <c r="F19" s="39">
        <f>F12+F18</f>
        <v>0</v>
      </c>
      <c r="G19" s="39">
        <f>G12+G18</f>
        <v>0</v>
      </c>
      <c r="H19" s="39">
        <f>H12+H18</f>
        <v>1000</v>
      </c>
      <c r="I19" s="39">
        <f>E19-H19</f>
        <v>52100</v>
      </c>
    </row>
    <row r="20" spans="1:9" ht="23.25" customHeight="1" thickTop="1">
      <c r="A20" s="43"/>
      <c r="B20" s="43"/>
      <c r="C20" s="44"/>
      <c r="D20" s="43"/>
      <c r="E20" s="19"/>
      <c r="F20" s="19"/>
      <c r="G20" s="19"/>
      <c r="H20" s="19"/>
      <c r="I20" s="19"/>
    </row>
    <row r="21" spans="1:10" s="53" customFormat="1" ht="23.25" customHeight="1">
      <c r="A21" s="82"/>
      <c r="B21" s="82"/>
      <c r="C21" s="83"/>
      <c r="D21" s="82"/>
      <c r="E21" s="93"/>
      <c r="F21" s="93"/>
      <c r="G21" s="93"/>
      <c r="H21" s="17"/>
      <c r="I21" s="93"/>
      <c r="J21" s="76"/>
    </row>
    <row r="22" spans="1:9" ht="23.25" customHeight="1">
      <c r="A22" s="14"/>
      <c r="B22" s="14"/>
      <c r="C22" s="9"/>
      <c r="D22" s="14" t="s">
        <v>20</v>
      </c>
      <c r="E22" s="18"/>
      <c r="F22" s="18"/>
      <c r="G22" s="18"/>
      <c r="H22" s="18"/>
      <c r="I22" s="18">
        <f>I19</f>
        <v>52100</v>
      </c>
    </row>
    <row r="23" spans="1:9" ht="23.25" customHeight="1">
      <c r="A23" s="27" t="s">
        <v>25</v>
      </c>
      <c r="B23" s="27">
        <v>15</v>
      </c>
      <c r="C23" s="26" t="s">
        <v>224</v>
      </c>
      <c r="D23" s="104" t="s">
        <v>86</v>
      </c>
      <c r="E23" s="19"/>
      <c r="F23" s="19"/>
      <c r="G23" s="19"/>
      <c r="H23" s="19">
        <v>12800</v>
      </c>
      <c r="I23" s="16">
        <f>I22+E23-H23</f>
        <v>39300</v>
      </c>
    </row>
    <row r="24" spans="1:9" ht="23.25" customHeight="1">
      <c r="A24" s="12"/>
      <c r="B24" s="12"/>
      <c r="C24" s="20" t="s">
        <v>225</v>
      </c>
      <c r="D24" s="104" t="s">
        <v>84</v>
      </c>
      <c r="E24" s="16"/>
      <c r="F24" s="16"/>
      <c r="G24" s="16"/>
      <c r="H24" s="16">
        <v>16770</v>
      </c>
      <c r="I24" s="16">
        <f>I23+E24-H24</f>
        <v>22530</v>
      </c>
    </row>
    <row r="25" spans="1:9" ht="23.25" customHeight="1">
      <c r="A25" s="12"/>
      <c r="B25" s="12"/>
      <c r="C25" s="6"/>
      <c r="D25" s="12"/>
      <c r="E25" s="16"/>
      <c r="F25" s="16"/>
      <c r="G25" s="16"/>
      <c r="H25" s="16"/>
      <c r="I25" s="16"/>
    </row>
    <row r="26" spans="1:9" ht="23.25" customHeight="1" thickBot="1">
      <c r="A26" s="12"/>
      <c r="B26" s="12"/>
      <c r="C26" s="6"/>
      <c r="D26" s="12" t="s">
        <v>18</v>
      </c>
      <c r="E26" s="38">
        <f>SUM(E23:E25)</f>
        <v>0</v>
      </c>
      <c r="F26" s="38">
        <f>SUM(F23:F25)</f>
        <v>0</v>
      </c>
      <c r="G26" s="38">
        <f>SUM(G23:G25)</f>
        <v>0</v>
      </c>
      <c r="H26" s="38">
        <f>SUM(H23:H25)</f>
        <v>29570</v>
      </c>
      <c r="I26" s="38">
        <f>I24</f>
        <v>22530</v>
      </c>
    </row>
    <row r="27" spans="1:9" ht="23.25" customHeight="1" thickBot="1" thickTop="1">
      <c r="A27" s="12"/>
      <c r="B27" s="12"/>
      <c r="C27" s="6"/>
      <c r="D27" s="12" t="s">
        <v>19</v>
      </c>
      <c r="E27" s="39">
        <f>E19</f>
        <v>53100</v>
      </c>
      <c r="F27" s="39">
        <f>F26</f>
        <v>0</v>
      </c>
      <c r="G27" s="39">
        <f>G26</f>
        <v>0</v>
      </c>
      <c r="H27" s="39">
        <f>H19+H26</f>
        <v>30570</v>
      </c>
      <c r="I27" s="39">
        <f>I26</f>
        <v>22530</v>
      </c>
    </row>
    <row r="28" spans="1:9" ht="23.25" customHeight="1" thickTop="1">
      <c r="A28" s="22"/>
      <c r="B28" s="12"/>
      <c r="C28" s="6"/>
      <c r="D28" s="12"/>
      <c r="E28" s="16"/>
      <c r="F28" s="16"/>
      <c r="G28" s="16"/>
      <c r="H28" s="16"/>
      <c r="I28" s="16"/>
    </row>
    <row r="29" spans="1:9" ht="23.25" customHeight="1">
      <c r="A29" s="23"/>
      <c r="B29" s="14"/>
      <c r="C29" s="9"/>
      <c r="D29" s="23" t="s">
        <v>20</v>
      </c>
      <c r="E29" s="18"/>
      <c r="F29" s="18"/>
      <c r="G29" s="18"/>
      <c r="H29" s="18"/>
      <c r="I29" s="18">
        <f>I27</f>
        <v>22530</v>
      </c>
    </row>
    <row r="30" spans="1:9" ht="23.25" customHeight="1">
      <c r="A30" s="12" t="s">
        <v>26</v>
      </c>
      <c r="B30" s="12">
        <v>19</v>
      </c>
      <c r="C30" s="6" t="s">
        <v>253</v>
      </c>
      <c r="D30" s="104" t="s">
        <v>254</v>
      </c>
      <c r="E30" s="16"/>
      <c r="F30" s="16"/>
      <c r="G30" s="16"/>
      <c r="H30" s="16">
        <v>10800</v>
      </c>
      <c r="I30" s="16">
        <f>I29+E30-H30</f>
        <v>11730</v>
      </c>
    </row>
    <row r="31" spans="1:9" ht="23.25" customHeight="1">
      <c r="A31" s="12"/>
      <c r="B31" s="12"/>
      <c r="C31" s="6" t="s">
        <v>255</v>
      </c>
      <c r="D31" s="104" t="s">
        <v>254</v>
      </c>
      <c r="E31" s="16"/>
      <c r="F31" s="16"/>
      <c r="G31" s="16"/>
      <c r="H31" s="16">
        <v>4980</v>
      </c>
      <c r="I31" s="16">
        <f>I30+E31-H31</f>
        <v>6750</v>
      </c>
    </row>
    <row r="32" spans="1:9" ht="23.25" customHeight="1">
      <c r="A32" s="22"/>
      <c r="B32" s="12"/>
      <c r="C32" s="6" t="s">
        <v>256</v>
      </c>
      <c r="D32" s="104" t="s">
        <v>257</v>
      </c>
      <c r="E32" s="16"/>
      <c r="F32" s="16"/>
      <c r="G32" s="16"/>
      <c r="H32" s="16">
        <v>930</v>
      </c>
      <c r="I32" s="16">
        <f>I31+E32-H32</f>
        <v>5820</v>
      </c>
    </row>
    <row r="33" spans="1:9" ht="23.25" customHeight="1">
      <c r="A33" s="22"/>
      <c r="B33" s="12"/>
      <c r="C33" s="6" t="s">
        <v>258</v>
      </c>
      <c r="D33" s="104" t="s">
        <v>257</v>
      </c>
      <c r="E33" s="16"/>
      <c r="F33" s="16"/>
      <c r="G33" s="16"/>
      <c r="H33" s="16">
        <v>4935</v>
      </c>
      <c r="I33" s="16">
        <f>I32+E33-H33</f>
        <v>885</v>
      </c>
    </row>
    <row r="34" spans="1:9" ht="23.25" customHeight="1" thickBot="1">
      <c r="A34" s="12"/>
      <c r="B34" s="12"/>
      <c r="C34" s="6"/>
      <c r="D34" s="12" t="s">
        <v>18</v>
      </c>
      <c r="E34" s="38">
        <f>SUM(E30:E31)</f>
        <v>0</v>
      </c>
      <c r="F34" s="38">
        <f>SUM(F30:F31)</f>
        <v>0</v>
      </c>
      <c r="G34" s="38">
        <f>SUM(G30:G31)</f>
        <v>0</v>
      </c>
      <c r="H34" s="38">
        <f>SUM(H30:H33)</f>
        <v>21645</v>
      </c>
      <c r="I34" s="38">
        <f>I33</f>
        <v>885</v>
      </c>
    </row>
    <row r="35" spans="1:10" ht="23.25" customHeight="1" thickBot="1" thickTop="1">
      <c r="A35" s="13"/>
      <c r="B35" s="13"/>
      <c r="C35" s="10"/>
      <c r="D35" s="13" t="s">
        <v>19</v>
      </c>
      <c r="E35" s="39">
        <f>E27+E34</f>
        <v>53100</v>
      </c>
      <c r="F35" s="39">
        <f>F27+F34</f>
        <v>0</v>
      </c>
      <c r="G35" s="39">
        <f>G27+G34</f>
        <v>0</v>
      </c>
      <c r="H35" s="39">
        <f>H27+H34</f>
        <v>52215</v>
      </c>
      <c r="I35" s="39">
        <f>E35-H35</f>
        <v>885</v>
      </c>
      <c r="J35" s="25" t="s">
        <v>285</v>
      </c>
    </row>
    <row r="36" spans="1:10" s="208" customFormat="1" ht="23.25" customHeight="1" thickTop="1">
      <c r="A36" s="326"/>
      <c r="B36" s="327"/>
      <c r="C36" s="328"/>
      <c r="D36" s="327" t="s">
        <v>20</v>
      </c>
      <c r="E36" s="206"/>
      <c r="F36" s="206"/>
      <c r="G36" s="206"/>
      <c r="H36" s="206"/>
      <c r="I36" s="206">
        <f>I35</f>
        <v>885</v>
      </c>
      <c r="J36" s="207"/>
    </row>
    <row r="37" spans="1:10" s="208" customFormat="1" ht="23.25" customHeight="1">
      <c r="A37" s="203" t="s">
        <v>27</v>
      </c>
      <c r="B37" s="204">
        <v>18</v>
      </c>
      <c r="C37" s="205" t="s">
        <v>302</v>
      </c>
      <c r="D37" s="323" t="s">
        <v>254</v>
      </c>
      <c r="E37" s="211"/>
      <c r="F37" s="211"/>
      <c r="G37" s="211"/>
      <c r="H37" s="211">
        <v>680</v>
      </c>
      <c r="I37" s="211">
        <f>I36+E37-H37</f>
        <v>205</v>
      </c>
      <c r="J37" s="207"/>
    </row>
    <row r="38" spans="1:9" ht="23.25" customHeight="1">
      <c r="A38" s="27"/>
      <c r="B38" s="27">
        <v>19</v>
      </c>
      <c r="C38" s="26" t="s">
        <v>326</v>
      </c>
      <c r="D38" s="26" t="s">
        <v>61</v>
      </c>
      <c r="E38" s="19">
        <v>8000</v>
      </c>
      <c r="F38" s="19"/>
      <c r="G38" s="19"/>
      <c r="H38" s="19"/>
      <c r="I38" s="19">
        <f>I37+E38-H38</f>
        <v>8205</v>
      </c>
    </row>
    <row r="39" spans="1:9" ht="23.25" customHeight="1">
      <c r="A39" s="12"/>
      <c r="B39" s="12"/>
      <c r="C39" s="20" t="s">
        <v>327</v>
      </c>
      <c r="D39" s="6" t="s">
        <v>62</v>
      </c>
      <c r="E39" s="16"/>
      <c r="F39" s="16"/>
      <c r="G39" s="16"/>
      <c r="H39" s="16"/>
      <c r="I39" s="16"/>
    </row>
    <row r="40" spans="1:9" ht="23.25" customHeight="1">
      <c r="A40" s="12"/>
      <c r="B40" s="12"/>
      <c r="C40" s="20"/>
      <c r="D40" s="6"/>
      <c r="E40" s="19"/>
      <c r="F40" s="19"/>
      <c r="G40" s="19"/>
      <c r="H40" s="19"/>
      <c r="I40" s="19"/>
    </row>
    <row r="41" spans="1:9" ht="23.25" customHeight="1" thickBot="1">
      <c r="A41" s="12"/>
      <c r="B41" s="12"/>
      <c r="C41" s="6"/>
      <c r="D41" s="12" t="s">
        <v>18</v>
      </c>
      <c r="E41" s="38">
        <f>SUM(E38:E40)</f>
        <v>8000</v>
      </c>
      <c r="F41" s="38">
        <f>SUM(F36:F37)</f>
        <v>0</v>
      </c>
      <c r="G41" s="38">
        <f>SUM(G36:G37)</f>
        <v>0</v>
      </c>
      <c r="H41" s="38">
        <f>SUM(H36:H39)</f>
        <v>680</v>
      </c>
      <c r="I41" s="38">
        <f>I38</f>
        <v>8205</v>
      </c>
    </row>
    <row r="42" spans="1:10" s="208" customFormat="1" ht="23.25" customHeight="1" thickBot="1" thickTop="1">
      <c r="A42" s="209"/>
      <c r="B42" s="209"/>
      <c r="C42" s="210"/>
      <c r="D42" s="209" t="s">
        <v>19</v>
      </c>
      <c r="E42" s="215">
        <f>E35+E41</f>
        <v>61100</v>
      </c>
      <c r="F42" s="215">
        <f>F39</f>
        <v>0</v>
      </c>
      <c r="G42" s="215">
        <f>G39</f>
        <v>0</v>
      </c>
      <c r="H42" s="215">
        <f>H35+H41</f>
        <v>52895</v>
      </c>
      <c r="I42" s="215">
        <f>E42-H42</f>
        <v>8205</v>
      </c>
      <c r="J42" s="207"/>
    </row>
    <row r="43" spans="1:10" s="208" customFormat="1" ht="23.25" customHeight="1" thickTop="1">
      <c r="A43" s="204"/>
      <c r="B43" s="204"/>
      <c r="C43" s="205"/>
      <c r="D43" s="204"/>
      <c r="E43" s="206"/>
      <c r="F43" s="206"/>
      <c r="G43" s="206"/>
      <c r="H43" s="206"/>
      <c r="I43" s="206"/>
      <c r="J43" s="207"/>
    </row>
    <row r="44" spans="1:9" ht="23.25" customHeight="1">
      <c r="A44" s="23"/>
      <c r="B44" s="14"/>
      <c r="C44" s="9"/>
      <c r="D44" s="23" t="s">
        <v>20</v>
      </c>
      <c r="E44" s="18"/>
      <c r="F44" s="18"/>
      <c r="G44" s="18"/>
      <c r="H44" s="18"/>
      <c r="I44" s="18">
        <f>I42</f>
        <v>8205</v>
      </c>
    </row>
    <row r="45" spans="1:10" s="53" customFormat="1" ht="23.25" customHeight="1">
      <c r="A45" s="12" t="s">
        <v>30</v>
      </c>
      <c r="B45" s="27">
        <v>1</v>
      </c>
      <c r="C45" s="26" t="s">
        <v>411</v>
      </c>
      <c r="D45" s="26" t="s">
        <v>410</v>
      </c>
      <c r="E45" s="19">
        <v>62000</v>
      </c>
      <c r="F45" s="19"/>
      <c r="G45" s="19"/>
      <c r="H45" s="19"/>
      <c r="I45" s="19">
        <f>I44+E45-H45</f>
        <v>70205</v>
      </c>
      <c r="J45" s="76"/>
    </row>
    <row r="46" spans="1:10" s="53" customFormat="1" ht="23.25" customHeight="1">
      <c r="A46" s="22"/>
      <c r="B46" s="12"/>
      <c r="C46" s="20" t="s">
        <v>394</v>
      </c>
      <c r="D46" s="6"/>
      <c r="E46" s="16"/>
      <c r="F46" s="16"/>
      <c r="G46" s="16"/>
      <c r="H46" s="16"/>
      <c r="I46" s="16"/>
      <c r="J46" s="76"/>
    </row>
    <row r="47" spans="1:10" s="53" customFormat="1" ht="23.25" customHeight="1">
      <c r="A47" s="22" t="s">
        <v>31</v>
      </c>
      <c r="B47" s="12">
        <v>18</v>
      </c>
      <c r="C47" s="20" t="s">
        <v>435</v>
      </c>
      <c r="D47" s="104" t="s">
        <v>86</v>
      </c>
      <c r="E47" s="16"/>
      <c r="F47" s="16"/>
      <c r="G47" s="16"/>
      <c r="H47" s="16">
        <v>26463</v>
      </c>
      <c r="I47" s="16">
        <f>I45+E47-H47</f>
        <v>43742</v>
      </c>
      <c r="J47" s="76"/>
    </row>
    <row r="48" spans="1:10" s="53" customFormat="1" ht="23.25" customHeight="1">
      <c r="A48" s="22"/>
      <c r="B48" s="12"/>
      <c r="C48" s="20" t="s">
        <v>436</v>
      </c>
      <c r="D48" s="6" t="s">
        <v>437</v>
      </c>
      <c r="E48" s="16"/>
      <c r="F48" s="16"/>
      <c r="G48" s="16"/>
      <c r="H48" s="16">
        <v>5562</v>
      </c>
      <c r="I48" s="16">
        <f>I47+E48-H48</f>
        <v>38180</v>
      </c>
      <c r="J48" s="76"/>
    </row>
    <row r="49" spans="1:10" s="53" customFormat="1" ht="23.25" customHeight="1">
      <c r="A49" s="22"/>
      <c r="B49" s="12"/>
      <c r="C49" s="20" t="s">
        <v>438</v>
      </c>
      <c r="D49" s="6" t="s">
        <v>437</v>
      </c>
      <c r="E49" s="16"/>
      <c r="F49" s="16"/>
      <c r="G49" s="16"/>
      <c r="H49" s="16">
        <v>12220</v>
      </c>
      <c r="I49" s="16">
        <f>I48+E49-H49</f>
        <v>25960</v>
      </c>
      <c r="J49" s="76"/>
    </row>
    <row r="50" spans="1:10" s="53" customFormat="1" ht="23.25" customHeight="1">
      <c r="A50" s="22"/>
      <c r="B50" s="12"/>
      <c r="C50" s="20" t="s">
        <v>439</v>
      </c>
      <c r="D50" s="6" t="s">
        <v>440</v>
      </c>
      <c r="E50" s="16"/>
      <c r="F50" s="16"/>
      <c r="G50" s="16"/>
      <c r="H50" s="16">
        <v>25960</v>
      </c>
      <c r="I50" s="16">
        <f>I49+E50-H50</f>
        <v>0</v>
      </c>
      <c r="J50" s="76"/>
    </row>
    <row r="51" spans="1:10" s="53" customFormat="1" ht="23.25" customHeight="1">
      <c r="A51" s="22"/>
      <c r="B51" s="12"/>
      <c r="C51" s="20"/>
      <c r="D51" s="6"/>
      <c r="E51" s="16"/>
      <c r="F51" s="16"/>
      <c r="G51" s="16"/>
      <c r="H51" s="16"/>
      <c r="I51" s="16"/>
      <c r="J51" s="76"/>
    </row>
    <row r="52" spans="1:10" s="53" customFormat="1" ht="23.25" customHeight="1">
      <c r="A52" s="22"/>
      <c r="B52" s="12"/>
      <c r="C52" s="6"/>
      <c r="D52" s="104"/>
      <c r="E52" s="16"/>
      <c r="F52" s="16"/>
      <c r="G52" s="16"/>
      <c r="H52" s="16"/>
      <c r="I52" s="16"/>
      <c r="J52" s="76"/>
    </row>
    <row r="53" spans="1:10" s="53" customFormat="1" ht="23.25" customHeight="1" thickBot="1">
      <c r="A53" s="12"/>
      <c r="B53" s="12"/>
      <c r="C53" s="6"/>
      <c r="D53" s="12" t="s">
        <v>18</v>
      </c>
      <c r="E53" s="38">
        <f>SUM(E45:E45)</f>
        <v>62000</v>
      </c>
      <c r="F53" s="38">
        <f>SUM(F45:F45)</f>
        <v>0</v>
      </c>
      <c r="G53" s="38">
        <f>SUM(G45:G45)</f>
        <v>0</v>
      </c>
      <c r="H53" s="38">
        <f>SUM(H45:H52)</f>
        <v>70205</v>
      </c>
      <c r="I53" s="38">
        <f>I52</f>
        <v>0</v>
      </c>
      <c r="J53" s="76"/>
    </row>
    <row r="54" spans="1:10" s="53" customFormat="1" ht="23.25" customHeight="1" thickBot="1" thickTop="1">
      <c r="A54" s="13"/>
      <c r="B54" s="13"/>
      <c r="C54" s="10"/>
      <c r="D54" s="13" t="s">
        <v>19</v>
      </c>
      <c r="E54" s="39">
        <f>E42+E53</f>
        <v>123100</v>
      </c>
      <c r="F54" s="39">
        <f>F42+F53</f>
        <v>0</v>
      </c>
      <c r="G54" s="39">
        <f>G42+G53</f>
        <v>0</v>
      </c>
      <c r="H54" s="39">
        <f>H42+H53</f>
        <v>123100</v>
      </c>
      <c r="I54" s="39">
        <f>E54-H54</f>
        <v>0</v>
      </c>
      <c r="J54" s="76"/>
    </row>
    <row r="55" ht="24" thickTop="1"/>
  </sheetData>
  <sheetProtection/>
  <mergeCells count="8">
    <mergeCell ref="A1:H1"/>
    <mergeCell ref="A2:I2"/>
    <mergeCell ref="A3:I3"/>
    <mergeCell ref="A4:I4"/>
    <mergeCell ref="A5:I5"/>
    <mergeCell ref="C6:C7"/>
    <mergeCell ref="D6:D7"/>
    <mergeCell ref="E6:I6"/>
  </mergeCells>
  <printOptions/>
  <pageMargins left="0.15748031496062992" right="0.15748031496062992" top="0.7874015748031497" bottom="0.5905511811023623" header="0.31496062992125984" footer="0.31496062992125984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6">
      <selection activeCell="I31" sqref="I31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0" width="13.140625" style="25" customWidth="1"/>
    <col min="11" max="16384" width="9.140625" style="1" customWidth="1"/>
  </cols>
  <sheetData>
    <row r="1" spans="1:10" s="2" customFormat="1" ht="28.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74" t="s">
        <v>78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ht="23.25">
      <c r="A3" s="375" t="s">
        <v>79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68" t="s">
        <v>176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76" t="s">
        <v>173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10" s="30" customFormat="1" ht="23.25" customHeight="1">
      <c r="A6" s="7" t="s">
        <v>0</v>
      </c>
      <c r="B6" s="4"/>
      <c r="C6" s="378" t="s">
        <v>3</v>
      </c>
      <c r="D6" s="378" t="s">
        <v>4</v>
      </c>
      <c r="E6" s="371" t="s">
        <v>10</v>
      </c>
      <c r="F6" s="372"/>
      <c r="G6" s="372"/>
      <c r="H6" s="372"/>
      <c r="I6" s="373"/>
      <c r="J6" s="29"/>
    </row>
    <row r="7" spans="1:10" s="30" customFormat="1" ht="23.25" customHeight="1">
      <c r="A7" s="4" t="s">
        <v>1</v>
      </c>
      <c r="B7" s="4" t="s">
        <v>2</v>
      </c>
      <c r="C7" s="379"/>
      <c r="D7" s="379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29"/>
    </row>
    <row r="8" spans="1:9" ht="23.25" customHeight="1">
      <c r="A8" s="27" t="s">
        <v>15</v>
      </c>
      <c r="B8" s="27">
        <v>19</v>
      </c>
      <c r="C8" s="26" t="s">
        <v>174</v>
      </c>
      <c r="D8" s="26" t="s">
        <v>80</v>
      </c>
      <c r="E8" s="19">
        <v>8350</v>
      </c>
      <c r="F8" s="19"/>
      <c r="G8" s="19"/>
      <c r="H8" s="19"/>
      <c r="I8" s="19">
        <f>E8</f>
        <v>8350</v>
      </c>
    </row>
    <row r="9" spans="1:9" ht="23.25" customHeight="1">
      <c r="A9" s="12"/>
      <c r="B9" s="12"/>
      <c r="C9" s="20" t="s">
        <v>175</v>
      </c>
      <c r="D9" s="6" t="s">
        <v>81</v>
      </c>
      <c r="E9" s="16"/>
      <c r="F9" s="16"/>
      <c r="G9" s="16"/>
      <c r="H9" s="16"/>
      <c r="I9" s="16"/>
    </row>
    <row r="10" spans="1:9" ht="23.25" customHeight="1">
      <c r="A10" s="12"/>
      <c r="B10" s="12"/>
      <c r="C10" s="6"/>
      <c r="D10" s="12"/>
      <c r="E10" s="16"/>
      <c r="F10" s="16"/>
      <c r="G10" s="16"/>
      <c r="H10" s="16"/>
      <c r="I10" s="16"/>
    </row>
    <row r="11" spans="1:9" ht="23.25" customHeight="1" thickBot="1">
      <c r="A11" s="12"/>
      <c r="B11" s="12"/>
      <c r="C11" s="6"/>
      <c r="D11" s="12" t="s">
        <v>18</v>
      </c>
      <c r="E11" s="38">
        <f>SUM(E8:E10)</f>
        <v>8350</v>
      </c>
      <c r="F11" s="38">
        <f>SUM(F8:F10)</f>
        <v>0</v>
      </c>
      <c r="G11" s="38">
        <f>SUM(G8:G10)</f>
        <v>0</v>
      </c>
      <c r="H11" s="38">
        <f>SUM(H8:H10)</f>
        <v>0</v>
      </c>
      <c r="I11" s="38">
        <f>I8</f>
        <v>8350</v>
      </c>
    </row>
    <row r="12" spans="1:9" ht="23.25" customHeight="1" thickBot="1" thickTop="1">
      <c r="A12" s="12"/>
      <c r="B12" s="12"/>
      <c r="C12" s="6"/>
      <c r="D12" s="12" t="s">
        <v>19</v>
      </c>
      <c r="E12" s="39">
        <f>E11</f>
        <v>8350</v>
      </c>
      <c r="F12" s="39">
        <f>F11</f>
        <v>0</v>
      </c>
      <c r="G12" s="39">
        <f>G11</f>
        <v>0</v>
      </c>
      <c r="H12" s="39">
        <f>H11</f>
        <v>0</v>
      </c>
      <c r="I12" s="39">
        <f>I11</f>
        <v>8350</v>
      </c>
    </row>
    <row r="13" spans="1:9" ht="23.25" customHeight="1" thickTop="1">
      <c r="A13" s="22"/>
      <c r="B13" s="12"/>
      <c r="C13" s="6"/>
      <c r="D13" s="12"/>
      <c r="E13" s="16"/>
      <c r="F13" s="16"/>
      <c r="G13" s="16"/>
      <c r="H13" s="16"/>
      <c r="I13" s="16"/>
    </row>
    <row r="14" spans="1:9" ht="23.25" customHeight="1">
      <c r="A14" s="14"/>
      <c r="B14" s="14"/>
      <c r="C14" s="9"/>
      <c r="D14" s="14" t="s">
        <v>20</v>
      </c>
      <c r="E14" s="18"/>
      <c r="F14" s="18"/>
      <c r="G14" s="18"/>
      <c r="H14" s="18"/>
      <c r="I14" s="18">
        <f>I11</f>
        <v>8350</v>
      </c>
    </row>
    <row r="15" spans="1:9" ht="23.25" customHeight="1">
      <c r="A15" s="27" t="s">
        <v>26</v>
      </c>
      <c r="B15" s="27">
        <v>19</v>
      </c>
      <c r="C15" s="26" t="s">
        <v>259</v>
      </c>
      <c r="D15" s="104" t="s">
        <v>260</v>
      </c>
      <c r="E15" s="19"/>
      <c r="F15" s="19"/>
      <c r="G15" s="19"/>
      <c r="H15" s="19">
        <v>1900</v>
      </c>
      <c r="I15" s="19">
        <f>I14-H15</f>
        <v>6450</v>
      </c>
    </row>
    <row r="16" spans="1:9" ht="23.25" customHeight="1">
      <c r="A16" s="12"/>
      <c r="B16" s="12"/>
      <c r="C16" s="6"/>
      <c r="D16" s="12"/>
      <c r="E16" s="16"/>
      <c r="F16" s="16"/>
      <c r="G16" s="16"/>
      <c r="H16" s="16"/>
      <c r="I16" s="16"/>
    </row>
    <row r="17" spans="1:9" ht="23.25" customHeight="1" thickBot="1">
      <c r="A17" s="12"/>
      <c r="B17" s="12"/>
      <c r="C17" s="6"/>
      <c r="D17" s="12" t="s">
        <v>18</v>
      </c>
      <c r="E17" s="38">
        <f>SUM(E15:E16)</f>
        <v>0</v>
      </c>
      <c r="F17" s="38">
        <f>SUM(F15:F16)</f>
        <v>0</v>
      </c>
      <c r="G17" s="38">
        <f>SUM(G15:G16)</f>
        <v>0</v>
      </c>
      <c r="H17" s="38">
        <f>SUM(H15:H16)</f>
        <v>1900</v>
      </c>
      <c r="I17" s="38">
        <f>I15</f>
        <v>6450</v>
      </c>
    </row>
    <row r="18" spans="1:10" ht="23.25" customHeight="1" thickBot="1" thickTop="1">
      <c r="A18" s="12"/>
      <c r="B18" s="12"/>
      <c r="C18" s="6"/>
      <c r="D18" s="12" t="s">
        <v>19</v>
      </c>
      <c r="E18" s="39">
        <f>E12+E17</f>
        <v>8350</v>
      </c>
      <c r="F18" s="39">
        <f>F12+F17</f>
        <v>0</v>
      </c>
      <c r="G18" s="39">
        <f>G12+G17</f>
        <v>0</v>
      </c>
      <c r="H18" s="39">
        <f>H12+H17</f>
        <v>1900</v>
      </c>
      <c r="I18" s="39">
        <f>E18-H18</f>
        <v>6450</v>
      </c>
      <c r="J18" s="25" t="s">
        <v>285</v>
      </c>
    </row>
    <row r="19" spans="1:9" ht="23.25" customHeight="1" thickTop="1">
      <c r="A19" s="43"/>
      <c r="B19" s="43"/>
      <c r="C19" s="44"/>
      <c r="D19" s="43"/>
      <c r="E19" s="19"/>
      <c r="F19" s="19"/>
      <c r="G19" s="19"/>
      <c r="H19" s="19"/>
      <c r="I19" s="19"/>
    </row>
    <row r="20" spans="1:9" ht="23.25" customHeight="1">
      <c r="A20" s="12"/>
      <c r="B20" s="12"/>
      <c r="C20" s="6"/>
      <c r="D20" s="12"/>
      <c r="E20" s="16"/>
      <c r="F20" s="16"/>
      <c r="G20" s="16"/>
      <c r="H20" s="16"/>
      <c r="I20" s="16"/>
    </row>
    <row r="21" spans="1:9" ht="23.25" customHeight="1">
      <c r="A21" s="13"/>
      <c r="B21" s="13"/>
      <c r="C21" s="10"/>
      <c r="D21" s="13"/>
      <c r="E21" s="17"/>
      <c r="F21" s="17"/>
      <c r="G21" s="17"/>
      <c r="H21" s="17"/>
      <c r="I21" s="17"/>
    </row>
    <row r="22" spans="1:9" ht="23.25" customHeight="1">
      <c r="A22" s="14"/>
      <c r="B22" s="14"/>
      <c r="C22" s="9"/>
      <c r="D22" s="14" t="s">
        <v>20</v>
      </c>
      <c r="E22" s="18"/>
      <c r="F22" s="18"/>
      <c r="G22" s="18"/>
      <c r="H22" s="18"/>
      <c r="I22" s="18">
        <f>I18</f>
        <v>6450</v>
      </c>
    </row>
    <row r="23" spans="1:9" ht="23.25" customHeight="1">
      <c r="A23" s="27" t="s">
        <v>28</v>
      </c>
      <c r="B23" s="27">
        <v>16</v>
      </c>
      <c r="C23" s="26" t="s">
        <v>345</v>
      </c>
      <c r="D23" s="104" t="s">
        <v>346</v>
      </c>
      <c r="E23" s="19"/>
      <c r="F23" s="19"/>
      <c r="G23" s="19"/>
      <c r="H23" s="19">
        <v>420</v>
      </c>
      <c r="I23" s="19">
        <f>I22-H23</f>
        <v>6030</v>
      </c>
    </row>
    <row r="24" spans="1:9" ht="23.25" customHeight="1">
      <c r="A24" s="12"/>
      <c r="B24" s="12"/>
      <c r="C24" s="6"/>
      <c r="D24" s="12"/>
      <c r="E24" s="16"/>
      <c r="F24" s="16"/>
      <c r="G24" s="16"/>
      <c r="H24" s="16"/>
      <c r="I24" s="16"/>
    </row>
    <row r="25" spans="1:9" ht="23.25" customHeight="1" thickBot="1">
      <c r="A25" s="12"/>
      <c r="B25" s="12"/>
      <c r="C25" s="6"/>
      <c r="D25" s="12" t="s">
        <v>18</v>
      </c>
      <c r="E25" s="38">
        <f>SUM(E23:E24)</f>
        <v>0</v>
      </c>
      <c r="F25" s="38">
        <f>SUM(F23:F24)</f>
        <v>0</v>
      </c>
      <c r="G25" s="38">
        <f>SUM(G23:G24)</f>
        <v>0</v>
      </c>
      <c r="H25" s="38">
        <f>SUM(H23:H24)</f>
        <v>420</v>
      </c>
      <c r="I25" s="38">
        <f>I23</f>
        <v>6030</v>
      </c>
    </row>
    <row r="26" spans="1:9" ht="23.25" customHeight="1" thickBot="1" thickTop="1">
      <c r="A26" s="12"/>
      <c r="B26" s="12"/>
      <c r="C26" s="6"/>
      <c r="D26" s="12" t="s">
        <v>19</v>
      </c>
      <c r="E26" s="39">
        <f>E18+E25</f>
        <v>8350</v>
      </c>
      <c r="F26" s="39">
        <f>F21+F25</f>
        <v>0</v>
      </c>
      <c r="G26" s="39">
        <f>G21+G25</f>
        <v>0</v>
      </c>
      <c r="H26" s="39">
        <f>H18+H25</f>
        <v>2320</v>
      </c>
      <c r="I26" s="39">
        <f>E26-H26</f>
        <v>6030</v>
      </c>
    </row>
    <row r="27" spans="1:10" s="53" customFormat="1" ht="23.25" customHeight="1" thickTop="1">
      <c r="A27" s="74"/>
      <c r="B27" s="72"/>
      <c r="C27" s="73"/>
      <c r="D27" s="72"/>
      <c r="E27" s="75"/>
      <c r="F27" s="75"/>
      <c r="G27" s="75"/>
      <c r="H27" s="75"/>
      <c r="I27" s="75"/>
      <c r="J27" s="76"/>
    </row>
    <row r="28" spans="1:9" ht="23.25" customHeight="1">
      <c r="A28" s="22"/>
      <c r="B28" s="12"/>
      <c r="C28" s="6"/>
      <c r="D28" s="12" t="s">
        <v>20</v>
      </c>
      <c r="E28" s="16"/>
      <c r="F28" s="16"/>
      <c r="G28" s="16"/>
      <c r="H28" s="16"/>
      <c r="I28" s="16">
        <f>I26</f>
        <v>6030</v>
      </c>
    </row>
    <row r="29" spans="1:9" ht="23.25" customHeight="1">
      <c r="A29" s="22" t="s">
        <v>399</v>
      </c>
      <c r="B29" s="12">
        <v>17</v>
      </c>
      <c r="C29" s="6" t="s">
        <v>400</v>
      </c>
      <c r="D29" s="104" t="s">
        <v>401</v>
      </c>
      <c r="E29" s="16"/>
      <c r="F29" s="16"/>
      <c r="G29" s="16"/>
      <c r="H29" s="16">
        <v>6000</v>
      </c>
      <c r="I29" s="16">
        <f>I28+E29-H29</f>
        <v>30</v>
      </c>
    </row>
    <row r="30" spans="1:10" s="53" customFormat="1" ht="23.25" customHeight="1">
      <c r="A30" s="74"/>
      <c r="B30" s="72"/>
      <c r="C30" s="73"/>
      <c r="D30" s="72"/>
      <c r="E30" s="75">
        <v>-30</v>
      </c>
      <c r="F30" s="75"/>
      <c r="G30" s="75"/>
      <c r="H30" s="75"/>
      <c r="I30" s="75"/>
      <c r="J30" s="76"/>
    </row>
    <row r="31" spans="1:9" ht="23.25" customHeight="1" thickBot="1">
      <c r="A31" s="12"/>
      <c r="B31" s="12"/>
      <c r="C31" s="6"/>
      <c r="D31" s="12" t="s">
        <v>18</v>
      </c>
      <c r="E31" s="38">
        <f>SUM(E29:E30)</f>
        <v>-30</v>
      </c>
      <c r="F31" s="38">
        <f>SUM(F29:F30)</f>
        <v>0</v>
      </c>
      <c r="G31" s="38">
        <f>SUM(G29:G30)</f>
        <v>0</v>
      </c>
      <c r="H31" s="38">
        <f>SUM(H29:H30)</f>
        <v>6000</v>
      </c>
      <c r="I31" s="38">
        <f>I29</f>
        <v>30</v>
      </c>
    </row>
    <row r="32" spans="1:9" ht="23.25" customHeight="1" thickBot="1" thickTop="1">
      <c r="A32" s="12"/>
      <c r="B32" s="12"/>
      <c r="C32" s="6"/>
      <c r="D32" s="12" t="s">
        <v>19</v>
      </c>
      <c r="E32" s="39">
        <f>E26+E31</f>
        <v>8320</v>
      </c>
      <c r="F32" s="39">
        <f>F26+F31</f>
        <v>0</v>
      </c>
      <c r="G32" s="39">
        <f>G26+G31</f>
        <v>0</v>
      </c>
      <c r="H32" s="39">
        <f>H26+H31</f>
        <v>8320</v>
      </c>
      <c r="I32" s="39">
        <f>E32-H32</f>
        <v>0</v>
      </c>
    </row>
    <row r="33" spans="1:10" s="53" customFormat="1" ht="23.25" customHeight="1" thickTop="1">
      <c r="A33" s="74"/>
      <c r="B33" s="72"/>
      <c r="C33" s="73"/>
      <c r="D33" s="72"/>
      <c r="E33" s="75"/>
      <c r="F33" s="75"/>
      <c r="G33" s="75"/>
      <c r="H33" s="75"/>
      <c r="I33" s="75"/>
      <c r="J33" s="76"/>
    </row>
    <row r="34" spans="1:10" s="53" customFormat="1" ht="23.25" customHeight="1">
      <c r="A34" s="74"/>
      <c r="B34" s="72"/>
      <c r="C34" s="73"/>
      <c r="D34" s="74"/>
      <c r="E34" s="75"/>
      <c r="F34" s="75"/>
      <c r="G34" s="75"/>
      <c r="H34" s="75"/>
      <c r="I34" s="75"/>
      <c r="J34" s="76"/>
    </row>
    <row r="35" spans="1:10" s="53" customFormat="1" ht="23.25" customHeight="1">
      <c r="A35" s="84"/>
      <c r="B35" s="82"/>
      <c r="C35" s="83"/>
      <c r="D35" s="201"/>
      <c r="E35" s="93"/>
      <c r="F35" s="93"/>
      <c r="G35" s="93"/>
      <c r="H35" s="93"/>
      <c r="I35" s="93"/>
      <c r="J35" s="76"/>
    </row>
  </sheetData>
  <sheetProtection/>
  <mergeCells count="8">
    <mergeCell ref="A1:H1"/>
    <mergeCell ref="A2:I2"/>
    <mergeCell ref="A3:I3"/>
    <mergeCell ref="A4:I4"/>
    <mergeCell ref="A5:I5"/>
    <mergeCell ref="C6:C7"/>
    <mergeCell ref="D6:D7"/>
    <mergeCell ref="E6:I6"/>
  </mergeCells>
  <printOptions/>
  <pageMargins left="0.15748031496062992" right="0.15748031496062992" top="0.7874015748031497" bottom="0.5905511811023623" header="0.31496062992125984" footer="0.31496062992125984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0">
      <selection activeCell="A5" sqref="A5:I5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28125" style="1" customWidth="1"/>
    <col min="5" max="7" width="14.28125" style="1" customWidth="1"/>
    <col min="8" max="8" width="14.28125" style="47" customWidth="1"/>
    <col min="9" max="9" width="14.28125" style="1" customWidth="1"/>
    <col min="10" max="16384" width="9.140625" style="1" customWidth="1"/>
  </cols>
  <sheetData>
    <row r="1" spans="1:9" s="2" customFormat="1" ht="29.25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</row>
    <row r="2" spans="1:14" ht="23.25">
      <c r="A2" s="374" t="s">
        <v>49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ht="23.25">
      <c r="A3" s="375" t="s">
        <v>122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68" t="s">
        <v>123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76" t="s">
        <v>124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9" s="3" customFormat="1" ht="23.25">
      <c r="A6" s="7" t="s">
        <v>0</v>
      </c>
      <c r="B6" s="4"/>
      <c r="C6" s="378" t="s">
        <v>3</v>
      </c>
      <c r="D6" s="378" t="s">
        <v>4</v>
      </c>
      <c r="E6" s="371" t="s">
        <v>10</v>
      </c>
      <c r="F6" s="372"/>
      <c r="G6" s="372"/>
      <c r="H6" s="372"/>
      <c r="I6" s="373"/>
    </row>
    <row r="7" spans="1:9" s="3" customFormat="1" ht="23.25">
      <c r="A7" s="4" t="s">
        <v>1</v>
      </c>
      <c r="B7" s="4" t="s">
        <v>2</v>
      </c>
      <c r="C7" s="379"/>
      <c r="D7" s="379"/>
      <c r="E7" s="4" t="s">
        <v>5</v>
      </c>
      <c r="F7" s="4" t="s">
        <v>6</v>
      </c>
      <c r="G7" s="4" t="s">
        <v>7</v>
      </c>
      <c r="H7" s="48" t="s">
        <v>8</v>
      </c>
      <c r="I7" s="4" t="s">
        <v>9</v>
      </c>
    </row>
    <row r="8" spans="1:9" ht="23.25">
      <c r="A8" s="11" t="s">
        <v>13</v>
      </c>
      <c r="B8" s="11">
        <v>28</v>
      </c>
      <c r="C8" s="15" t="s">
        <v>125</v>
      </c>
      <c r="D8" s="15" t="s">
        <v>56</v>
      </c>
      <c r="E8" s="36">
        <v>55000</v>
      </c>
      <c r="F8" s="5"/>
      <c r="G8" s="5"/>
      <c r="H8" s="45"/>
      <c r="I8" s="37">
        <f>E8</f>
        <v>55000</v>
      </c>
    </row>
    <row r="9" spans="1:9" ht="23.25">
      <c r="A9" s="6"/>
      <c r="B9" s="6"/>
      <c r="C9" s="6" t="s">
        <v>126</v>
      </c>
      <c r="D9" s="20" t="s">
        <v>57</v>
      </c>
      <c r="E9" s="16"/>
      <c r="F9" s="6"/>
      <c r="G9" s="6"/>
      <c r="H9" s="46"/>
      <c r="I9" s="31"/>
    </row>
    <row r="10" spans="1:9" ht="23.25">
      <c r="A10" s="6"/>
      <c r="B10" s="6"/>
      <c r="C10" s="6"/>
      <c r="D10" s="20" t="s">
        <v>58</v>
      </c>
      <c r="E10" s="16"/>
      <c r="F10" s="6"/>
      <c r="G10" s="6"/>
      <c r="H10" s="46"/>
      <c r="I10" s="31"/>
    </row>
    <row r="11" spans="1:9" ht="23.25">
      <c r="A11" s="6"/>
      <c r="B11" s="6"/>
      <c r="C11" s="6"/>
      <c r="D11" s="6" t="s">
        <v>87</v>
      </c>
      <c r="E11" s="6"/>
      <c r="F11" s="6"/>
      <c r="G11" s="6"/>
      <c r="H11" s="46"/>
      <c r="I11" s="6"/>
    </row>
    <row r="12" spans="1:9" ht="23.25">
      <c r="A12" s="6"/>
      <c r="B12" s="12"/>
      <c r="C12" s="6"/>
      <c r="D12" s="6"/>
      <c r="E12" s="6"/>
      <c r="F12" s="6"/>
      <c r="G12" s="6"/>
      <c r="H12" s="105"/>
      <c r="I12" s="31"/>
    </row>
    <row r="13" spans="1:10" ht="23.25" customHeight="1" thickBot="1">
      <c r="A13" s="12"/>
      <c r="B13" s="12"/>
      <c r="C13" s="6"/>
      <c r="D13" s="12" t="s">
        <v>18</v>
      </c>
      <c r="E13" s="38">
        <f>SUM(E8:E11)</f>
        <v>55000</v>
      </c>
      <c r="F13" s="38">
        <f>SUM(F8:F11)</f>
        <v>0</v>
      </c>
      <c r="G13" s="38">
        <f>SUM(G8:G11)</f>
        <v>0</v>
      </c>
      <c r="H13" s="38">
        <f>SUM(H12:H12)</f>
        <v>0</v>
      </c>
      <c r="I13" s="38">
        <f>I8</f>
        <v>55000</v>
      </c>
      <c r="J13" s="25"/>
    </row>
    <row r="14" spans="1:10" ht="23.25" customHeight="1" thickBot="1" thickTop="1">
      <c r="A14" s="12"/>
      <c r="B14" s="12"/>
      <c r="C14" s="6"/>
      <c r="D14" s="12" t="s">
        <v>19</v>
      </c>
      <c r="E14" s="39">
        <f>E13</f>
        <v>55000</v>
      </c>
      <c r="F14" s="39">
        <f>F13</f>
        <v>0</v>
      </c>
      <c r="G14" s="39">
        <f>G13</f>
        <v>0</v>
      </c>
      <c r="H14" s="50">
        <f>H13</f>
        <v>0</v>
      </c>
      <c r="I14" s="39">
        <f>I13</f>
        <v>55000</v>
      </c>
      <c r="J14" s="25"/>
    </row>
    <row r="15" spans="1:10" ht="23.25" customHeight="1" thickTop="1">
      <c r="A15" s="43"/>
      <c r="B15" s="43"/>
      <c r="C15" s="44"/>
      <c r="D15" s="43"/>
      <c r="E15" s="19"/>
      <c r="F15" s="19"/>
      <c r="G15" s="19"/>
      <c r="H15" s="51"/>
      <c r="I15" s="19"/>
      <c r="J15" s="25"/>
    </row>
    <row r="16" spans="1:10" ht="23.25" customHeight="1">
      <c r="A16" s="12"/>
      <c r="B16" s="12"/>
      <c r="C16" s="6"/>
      <c r="D16" s="12" t="s">
        <v>20</v>
      </c>
      <c r="E16" s="16"/>
      <c r="F16" s="16"/>
      <c r="G16" s="16"/>
      <c r="H16" s="105"/>
      <c r="I16" s="16">
        <f>I14</f>
        <v>55000</v>
      </c>
      <c r="J16" s="25"/>
    </row>
    <row r="17" spans="1:10" ht="23.25" customHeight="1">
      <c r="A17" s="27" t="s">
        <v>15</v>
      </c>
      <c r="B17" s="12">
        <v>17</v>
      </c>
      <c r="C17" s="6" t="s">
        <v>143</v>
      </c>
      <c r="D17" s="20" t="s">
        <v>17</v>
      </c>
      <c r="E17" s="16"/>
      <c r="F17" s="6"/>
      <c r="G17" s="6"/>
      <c r="H17" s="105">
        <v>55000</v>
      </c>
      <c r="I17" s="31">
        <f>I16+E17-H17</f>
        <v>0</v>
      </c>
      <c r="J17" s="25"/>
    </row>
    <row r="18" spans="1:10" ht="23.25" customHeight="1">
      <c r="A18" s="6"/>
      <c r="B18" s="6"/>
      <c r="C18" s="6"/>
      <c r="D18" s="20"/>
      <c r="E18" s="16"/>
      <c r="F18" s="6"/>
      <c r="G18" s="6"/>
      <c r="H18" s="46"/>
      <c r="I18" s="31"/>
      <c r="J18" s="25"/>
    </row>
    <row r="19" spans="1:9" s="53" customFormat="1" ht="23.25">
      <c r="A19" s="6"/>
      <c r="B19" s="6"/>
      <c r="C19" s="6"/>
      <c r="D19" s="6"/>
      <c r="E19" s="6"/>
      <c r="F19" s="6"/>
      <c r="G19" s="6"/>
      <c r="H19" s="46"/>
      <c r="I19" s="6"/>
    </row>
    <row r="20" spans="1:10" ht="23.25" customHeight="1" thickBot="1">
      <c r="A20" s="12"/>
      <c r="B20" s="12"/>
      <c r="C20" s="6"/>
      <c r="D20" s="12" t="s">
        <v>18</v>
      </c>
      <c r="E20" s="38">
        <f>SUM(E16:E18)</f>
        <v>0</v>
      </c>
      <c r="F20" s="38">
        <f>SUM(F16:F18)</f>
        <v>0</v>
      </c>
      <c r="G20" s="38">
        <f>SUM(G16:G18)</f>
        <v>0</v>
      </c>
      <c r="H20" s="38">
        <f>SUM(H17:H19)</f>
        <v>55000</v>
      </c>
      <c r="I20" s="38">
        <f>I17</f>
        <v>0</v>
      </c>
      <c r="J20" s="25"/>
    </row>
    <row r="21" spans="1:10" ht="23.25" customHeight="1" thickBot="1" thickTop="1">
      <c r="A21" s="13"/>
      <c r="B21" s="13"/>
      <c r="C21" s="10"/>
      <c r="D21" s="13" t="s">
        <v>19</v>
      </c>
      <c r="E21" s="39">
        <f>E20+E14</f>
        <v>55000</v>
      </c>
      <c r="F21" s="39">
        <f>F20</f>
        <v>0</v>
      </c>
      <c r="G21" s="39">
        <f>G20</f>
        <v>0</v>
      </c>
      <c r="H21" s="50">
        <f>H14+H20</f>
        <v>55000</v>
      </c>
      <c r="I21" s="39">
        <f>I20</f>
        <v>0</v>
      </c>
      <c r="J21" s="25"/>
    </row>
    <row r="22" spans="1:9" ht="24" thickTop="1">
      <c r="A22" s="11"/>
      <c r="B22" s="11"/>
      <c r="C22" s="15"/>
      <c r="D22" s="117" t="s">
        <v>20</v>
      </c>
      <c r="E22" s="36"/>
      <c r="F22" s="5"/>
      <c r="G22" s="5"/>
      <c r="H22" s="45"/>
      <c r="I22" s="37">
        <f>I21</f>
        <v>0</v>
      </c>
    </row>
    <row r="23" spans="1:9" ht="23.25">
      <c r="A23" s="72" t="s">
        <v>29</v>
      </c>
      <c r="B23" s="73">
        <v>12</v>
      </c>
      <c r="C23" s="73" t="s">
        <v>85</v>
      </c>
      <c r="D23" s="80" t="s">
        <v>17</v>
      </c>
      <c r="E23" s="75"/>
      <c r="F23" s="73"/>
      <c r="G23" s="73"/>
      <c r="H23" s="166">
        <v>50000</v>
      </c>
      <c r="I23" s="167">
        <f>I22+E23-H23</f>
        <v>-50000</v>
      </c>
    </row>
    <row r="24" spans="1:9" ht="23.25">
      <c r="A24" s="73"/>
      <c r="B24" s="72"/>
      <c r="C24" s="73"/>
      <c r="D24" s="73"/>
      <c r="E24" s="73"/>
      <c r="F24" s="73"/>
      <c r="G24" s="73"/>
      <c r="H24" s="166"/>
      <c r="I24" s="167"/>
    </row>
    <row r="25" spans="1:10" ht="23.25" customHeight="1" thickBot="1">
      <c r="A25" s="72"/>
      <c r="B25" s="72"/>
      <c r="C25" s="73"/>
      <c r="D25" s="72" t="s">
        <v>18</v>
      </c>
      <c r="E25" s="149">
        <f>SUM(E23:E24)</f>
        <v>0</v>
      </c>
      <c r="F25" s="149">
        <f>SUM(F20:F23)</f>
        <v>0</v>
      </c>
      <c r="G25" s="149">
        <f>SUM(G20:G23)</f>
        <v>0</v>
      </c>
      <c r="H25" s="149">
        <f>SUM(H23:H24)</f>
        <v>50000</v>
      </c>
      <c r="I25" s="149">
        <f>I23</f>
        <v>-50000</v>
      </c>
      <c r="J25" s="25"/>
    </row>
    <row r="26" spans="1:10" ht="23.25" customHeight="1" thickBot="1" thickTop="1">
      <c r="A26" s="72"/>
      <c r="B26" s="72"/>
      <c r="C26" s="73"/>
      <c r="D26" s="72" t="s">
        <v>19</v>
      </c>
      <c r="E26" s="150">
        <f>E25+E21</f>
        <v>55000</v>
      </c>
      <c r="F26" s="150">
        <f>F25</f>
        <v>0</v>
      </c>
      <c r="G26" s="150">
        <f>G25</f>
        <v>0</v>
      </c>
      <c r="H26" s="168">
        <f>H21+H25</f>
        <v>105000</v>
      </c>
      <c r="I26" s="150">
        <f>I25</f>
        <v>-50000</v>
      </c>
      <c r="J26" s="25"/>
    </row>
    <row r="27" spans="1:10" ht="23.25" customHeight="1" thickTop="1">
      <c r="A27" s="72"/>
      <c r="B27" s="72"/>
      <c r="C27" s="73"/>
      <c r="D27" s="86" t="s">
        <v>20</v>
      </c>
      <c r="E27" s="81"/>
      <c r="F27" s="81"/>
      <c r="G27" s="81"/>
      <c r="H27" s="169"/>
      <c r="I27" s="81">
        <f>I26</f>
        <v>-50000</v>
      </c>
      <c r="J27" s="25"/>
    </row>
    <row r="28" spans="1:10" s="53" customFormat="1" ht="23.25" customHeight="1">
      <c r="A28" s="77" t="s">
        <v>30</v>
      </c>
      <c r="B28" s="77">
        <v>17</v>
      </c>
      <c r="C28" s="78" t="s">
        <v>91</v>
      </c>
      <c r="D28" s="78" t="s">
        <v>56</v>
      </c>
      <c r="E28" s="79">
        <v>50000</v>
      </c>
      <c r="F28" s="95"/>
      <c r="G28" s="95"/>
      <c r="H28" s="118"/>
      <c r="I28" s="170">
        <f>E28</f>
        <v>50000</v>
      </c>
      <c r="J28" s="76"/>
    </row>
    <row r="29" spans="1:10" s="53" customFormat="1" ht="23.25" customHeight="1">
      <c r="A29" s="73"/>
      <c r="B29" s="73"/>
      <c r="C29" s="73" t="s">
        <v>92</v>
      </c>
      <c r="D29" s="80" t="s">
        <v>57</v>
      </c>
      <c r="E29" s="75"/>
      <c r="F29" s="73"/>
      <c r="G29" s="73"/>
      <c r="H29" s="171"/>
      <c r="I29" s="167"/>
      <c r="J29" s="76"/>
    </row>
    <row r="30" spans="1:9" s="53" customFormat="1" ht="23.25">
      <c r="A30" s="73"/>
      <c r="B30" s="73"/>
      <c r="C30" s="73"/>
      <c r="D30" s="80" t="s">
        <v>58</v>
      </c>
      <c r="E30" s="75"/>
      <c r="F30" s="73"/>
      <c r="G30" s="73"/>
      <c r="H30" s="171"/>
      <c r="I30" s="167"/>
    </row>
    <row r="31" spans="1:9" s="53" customFormat="1" ht="23.25">
      <c r="A31" s="73"/>
      <c r="B31" s="73"/>
      <c r="C31" s="73"/>
      <c r="D31" s="73" t="s">
        <v>88</v>
      </c>
      <c r="E31" s="73"/>
      <c r="F31" s="73"/>
      <c r="G31" s="73"/>
      <c r="H31" s="171"/>
      <c r="I31" s="73"/>
    </row>
    <row r="32" spans="1:9" s="53" customFormat="1" ht="23.25">
      <c r="A32" s="72" t="s">
        <v>31</v>
      </c>
      <c r="B32" s="72">
        <v>2</v>
      </c>
      <c r="C32" s="73" t="s">
        <v>89</v>
      </c>
      <c r="D32" s="80" t="s">
        <v>17</v>
      </c>
      <c r="E32" s="75"/>
      <c r="F32" s="73"/>
      <c r="G32" s="73"/>
      <c r="H32" s="166">
        <v>50000</v>
      </c>
      <c r="I32" s="167">
        <f>I28+E32-H32</f>
        <v>0</v>
      </c>
    </row>
    <row r="33" spans="1:9" s="53" customFormat="1" ht="23.25">
      <c r="A33" s="87"/>
      <c r="B33" s="87"/>
      <c r="C33" s="87"/>
      <c r="D33" s="87"/>
      <c r="E33" s="95"/>
      <c r="F33" s="95"/>
      <c r="G33" s="95"/>
      <c r="H33" s="118"/>
      <c r="I33" s="95"/>
    </row>
    <row r="34" spans="1:10" ht="23.25" customHeight="1" thickBot="1">
      <c r="A34" s="72"/>
      <c r="B34" s="72"/>
      <c r="C34" s="73"/>
      <c r="D34" s="72" t="s">
        <v>18</v>
      </c>
      <c r="E34" s="149">
        <f>SUM(E27:E30)</f>
        <v>50000</v>
      </c>
      <c r="F34" s="149">
        <f>SUM(F27:F30)</f>
        <v>0</v>
      </c>
      <c r="G34" s="149">
        <f>SUM(G27:G30)</f>
        <v>0</v>
      </c>
      <c r="H34" s="149">
        <f>SUM(H28:H33)</f>
        <v>50000</v>
      </c>
      <c r="I34" s="149">
        <f>I32</f>
        <v>0</v>
      </c>
      <c r="J34" s="25"/>
    </row>
    <row r="35" spans="1:10" ht="23.25" customHeight="1" thickBot="1" thickTop="1">
      <c r="A35" s="82"/>
      <c r="B35" s="82"/>
      <c r="C35" s="83"/>
      <c r="D35" s="82" t="s">
        <v>19</v>
      </c>
      <c r="E35" s="150">
        <f>E34+E26</f>
        <v>105000</v>
      </c>
      <c r="F35" s="150">
        <f>F34+F26</f>
        <v>0</v>
      </c>
      <c r="G35" s="150">
        <f>G34+G26</f>
        <v>0</v>
      </c>
      <c r="H35" s="150">
        <f>H34+H26</f>
        <v>155000</v>
      </c>
      <c r="I35" s="150">
        <f>I34</f>
        <v>0</v>
      </c>
      <c r="J35" s="25"/>
    </row>
    <row r="36" spans="1:9" ht="24" thickTop="1">
      <c r="A36" s="53"/>
      <c r="B36" s="53"/>
      <c r="C36" s="53"/>
      <c r="D36" s="53"/>
      <c r="E36" s="53"/>
      <c r="F36" s="53"/>
      <c r="G36" s="53"/>
      <c r="H36" s="172"/>
      <c r="I36" s="53"/>
    </row>
    <row r="37" spans="1:9" ht="23.25">
      <c r="A37" s="53"/>
      <c r="B37" s="53"/>
      <c r="C37" s="53"/>
      <c r="D37" s="53"/>
      <c r="E37" s="53"/>
      <c r="F37" s="53"/>
      <c r="G37" s="53"/>
      <c r="H37" s="172"/>
      <c r="I37" s="53"/>
    </row>
    <row r="38" spans="1:9" ht="23.25">
      <c r="A38" s="53"/>
      <c r="B38" s="53"/>
      <c r="C38" s="53"/>
      <c r="D38" s="53"/>
      <c r="E38" s="53"/>
      <c r="F38" s="53"/>
      <c r="G38" s="53"/>
      <c r="H38" s="172"/>
      <c r="I38" s="53"/>
    </row>
    <row r="39" spans="1:9" ht="23.25">
      <c r="A39" s="53"/>
      <c r="B39" s="53"/>
      <c r="C39" s="53"/>
      <c r="D39" s="53"/>
      <c r="E39" s="53"/>
      <c r="F39" s="53"/>
      <c r="G39" s="53"/>
      <c r="H39" s="172"/>
      <c r="I39" s="53"/>
    </row>
    <row r="40" spans="1:9" ht="23.25">
      <c r="A40" s="53"/>
      <c r="B40" s="53"/>
      <c r="C40" s="53"/>
      <c r="D40" s="53"/>
      <c r="E40" s="53"/>
      <c r="F40" s="53"/>
      <c r="G40" s="53"/>
      <c r="H40" s="172"/>
      <c r="I40" s="53"/>
    </row>
    <row r="41" spans="1:9" ht="23.25">
      <c r="A41" s="53"/>
      <c r="B41" s="53"/>
      <c r="C41" s="53"/>
      <c r="D41" s="53"/>
      <c r="E41" s="53"/>
      <c r="F41" s="53"/>
      <c r="G41" s="53"/>
      <c r="H41" s="172"/>
      <c r="I41" s="53"/>
    </row>
    <row r="42" spans="1:9" ht="23.25">
      <c r="A42" s="53"/>
      <c r="B42" s="53"/>
      <c r="C42" s="53"/>
      <c r="D42" s="53"/>
      <c r="E42" s="53"/>
      <c r="F42" s="53"/>
      <c r="G42" s="53"/>
      <c r="H42" s="172"/>
      <c r="I42" s="53"/>
    </row>
    <row r="43" spans="1:9" ht="23.25">
      <c r="A43" s="53"/>
      <c r="B43" s="53"/>
      <c r="C43" s="53"/>
      <c r="D43" s="53"/>
      <c r="E43" s="53"/>
      <c r="F43" s="53"/>
      <c r="G43" s="53"/>
      <c r="H43" s="172"/>
      <c r="I43" s="53"/>
    </row>
  </sheetData>
  <sheetProtection/>
  <mergeCells count="8">
    <mergeCell ref="C6:C7"/>
    <mergeCell ref="D6:D7"/>
    <mergeCell ref="E6:I6"/>
    <mergeCell ref="A1:H1"/>
    <mergeCell ref="A2:I2"/>
    <mergeCell ref="A3:I3"/>
    <mergeCell ref="A4:I4"/>
    <mergeCell ref="A5:I5"/>
  </mergeCells>
  <printOptions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  <headerFooter alignWithMargins="0">
    <oddFooter>&amp;C&amp;"Angsana New,ธรรมดา"&amp;14หน้า &amp;P</oddFooter>
  </headerFooter>
  <ignoredErrors>
    <ignoredError sqref="H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1">
      <selection activeCell="I49" sqref="I49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0" width="13.140625" style="25" customWidth="1"/>
    <col min="11" max="16384" width="9.140625" style="1" customWidth="1"/>
  </cols>
  <sheetData>
    <row r="1" spans="1:10" s="2" customFormat="1" ht="28.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66" t="s">
        <v>82</v>
      </c>
      <c r="B2" s="366"/>
      <c r="C2" s="366"/>
      <c r="D2" s="366"/>
      <c r="E2" s="366"/>
      <c r="F2" s="366"/>
      <c r="G2" s="366"/>
      <c r="H2" s="366"/>
      <c r="I2" s="366"/>
      <c r="J2" s="33"/>
      <c r="K2" s="33"/>
      <c r="L2" s="33"/>
      <c r="M2" s="33"/>
      <c r="N2" s="33"/>
    </row>
    <row r="3" spans="1:14" ht="23.25">
      <c r="A3" s="367" t="s">
        <v>261</v>
      </c>
      <c r="B3" s="367"/>
      <c r="C3" s="367"/>
      <c r="D3" s="367"/>
      <c r="E3" s="367"/>
      <c r="F3" s="367"/>
      <c r="G3" s="367"/>
      <c r="H3" s="367"/>
      <c r="I3" s="367"/>
      <c r="J3" s="34"/>
      <c r="K3" s="34"/>
      <c r="L3" s="34"/>
      <c r="M3" s="34"/>
      <c r="N3" s="34"/>
    </row>
    <row r="4" spans="1:14" ht="23.25">
      <c r="A4" s="368" t="s">
        <v>262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69" t="s">
        <v>307</v>
      </c>
      <c r="B5" s="369"/>
      <c r="C5" s="369"/>
      <c r="D5" s="369"/>
      <c r="E5" s="369"/>
      <c r="F5" s="369"/>
      <c r="G5" s="369"/>
      <c r="H5" s="369"/>
      <c r="I5" s="369"/>
      <c r="J5" s="34"/>
      <c r="K5" s="34"/>
      <c r="L5" s="34"/>
      <c r="M5" s="34"/>
      <c r="N5" s="34"/>
    </row>
    <row r="6" spans="1:10" s="30" customFormat="1" ht="23.25" customHeight="1">
      <c r="A6" s="7" t="s">
        <v>0</v>
      </c>
      <c r="B6" s="4"/>
      <c r="C6" s="370" t="s">
        <v>3</v>
      </c>
      <c r="D6" s="370" t="s">
        <v>4</v>
      </c>
      <c r="E6" s="371" t="s">
        <v>10</v>
      </c>
      <c r="F6" s="372"/>
      <c r="G6" s="372"/>
      <c r="H6" s="372"/>
      <c r="I6" s="373"/>
      <c r="J6" s="29"/>
    </row>
    <row r="7" spans="1:10" s="30" customFormat="1" ht="23.25" customHeight="1">
      <c r="A7" s="4" t="s">
        <v>1</v>
      </c>
      <c r="B7" s="4" t="s">
        <v>2</v>
      </c>
      <c r="C7" s="370"/>
      <c r="D7" s="370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29"/>
    </row>
    <row r="8" spans="1:9" ht="23.25" customHeight="1">
      <c r="A8" s="27" t="s">
        <v>26</v>
      </c>
      <c r="B8" s="27">
        <v>11</v>
      </c>
      <c r="C8" s="26" t="s">
        <v>263</v>
      </c>
      <c r="D8" s="26" t="s">
        <v>265</v>
      </c>
      <c r="E8" s="19">
        <v>1963260</v>
      </c>
      <c r="F8" s="19"/>
      <c r="G8" s="19"/>
      <c r="H8" s="19"/>
      <c r="I8" s="19">
        <f>E8</f>
        <v>1963260</v>
      </c>
    </row>
    <row r="9" spans="1:9" ht="23.25" customHeight="1">
      <c r="A9" s="12"/>
      <c r="B9" s="12"/>
      <c r="C9" s="20" t="s">
        <v>264</v>
      </c>
      <c r="D9" s="6"/>
      <c r="E9" s="16"/>
      <c r="F9" s="16"/>
      <c r="G9" s="16"/>
      <c r="H9" s="16"/>
      <c r="I9" s="16"/>
    </row>
    <row r="10" spans="1:10" s="208" customFormat="1" ht="23.25" customHeight="1">
      <c r="A10" s="209"/>
      <c r="B10" s="209">
        <v>19</v>
      </c>
      <c r="C10" s="210" t="s">
        <v>271</v>
      </c>
      <c r="D10" s="210" t="s">
        <v>272</v>
      </c>
      <c r="E10" s="211"/>
      <c r="F10" s="211"/>
      <c r="G10" s="211"/>
      <c r="H10" s="211">
        <v>242360</v>
      </c>
      <c r="I10" s="211">
        <f>I8+E10-H10</f>
        <v>1720900</v>
      </c>
      <c r="J10" s="207"/>
    </row>
    <row r="11" spans="1:10" s="208" customFormat="1" ht="23.25" customHeight="1">
      <c r="A11" s="209"/>
      <c r="B11" s="209"/>
      <c r="C11" s="210" t="s">
        <v>273</v>
      </c>
      <c r="D11" s="210" t="s">
        <v>274</v>
      </c>
      <c r="E11" s="211"/>
      <c r="F11" s="211"/>
      <c r="G11" s="211"/>
      <c r="H11" s="211">
        <v>42064.52</v>
      </c>
      <c r="I11" s="211">
        <f>I10+E11-H11</f>
        <v>1678835.48</v>
      </c>
      <c r="J11" s="207"/>
    </row>
    <row r="12" spans="1:9" ht="23.25" customHeight="1">
      <c r="A12" s="12"/>
      <c r="B12" s="12"/>
      <c r="C12" s="6"/>
      <c r="D12" s="12"/>
      <c r="E12" s="16"/>
      <c r="F12" s="16"/>
      <c r="G12" s="16"/>
      <c r="H12" s="16"/>
      <c r="I12" s="16"/>
    </row>
    <row r="13" spans="1:9" ht="23.25" customHeight="1" thickBot="1">
      <c r="A13" s="12"/>
      <c r="B13" s="12"/>
      <c r="C13" s="6"/>
      <c r="D13" s="12" t="s">
        <v>18</v>
      </c>
      <c r="E13" s="38">
        <f>SUM(E8:E12)</f>
        <v>1963260</v>
      </c>
      <c r="F13" s="38">
        <f>SUM(F8:F12)</f>
        <v>0</v>
      </c>
      <c r="G13" s="38">
        <f>SUM(G8:G12)</f>
        <v>0</v>
      </c>
      <c r="H13" s="38">
        <f>SUM(H8:H12)</f>
        <v>284424.52</v>
      </c>
      <c r="I13" s="38">
        <f>I11</f>
        <v>1678835.48</v>
      </c>
    </row>
    <row r="14" spans="1:9" ht="23.25" customHeight="1" thickBot="1" thickTop="1">
      <c r="A14" s="12"/>
      <c r="B14" s="12"/>
      <c r="C14" s="6"/>
      <c r="D14" s="12" t="s">
        <v>19</v>
      </c>
      <c r="E14" s="39">
        <f>E13</f>
        <v>1963260</v>
      </c>
      <c r="F14" s="39">
        <f>F13</f>
        <v>0</v>
      </c>
      <c r="G14" s="39">
        <f>G13</f>
        <v>0</v>
      </c>
      <c r="H14" s="39">
        <f>H13</f>
        <v>284424.52</v>
      </c>
      <c r="I14" s="39">
        <f>E14+F14-H14</f>
        <v>1678835.48</v>
      </c>
    </row>
    <row r="15" spans="1:9" ht="23.25" customHeight="1" thickTop="1">
      <c r="A15" s="22"/>
      <c r="B15" s="12"/>
      <c r="C15" s="6"/>
      <c r="D15" s="12"/>
      <c r="E15" s="16"/>
      <c r="F15" s="16"/>
      <c r="G15" s="16"/>
      <c r="H15" s="16"/>
      <c r="I15" s="16"/>
    </row>
    <row r="16" spans="1:10" s="208" customFormat="1" ht="23.25" customHeight="1">
      <c r="A16" s="212"/>
      <c r="B16" s="209"/>
      <c r="C16" s="210"/>
      <c r="D16" s="212" t="s">
        <v>20</v>
      </c>
      <c r="E16" s="211"/>
      <c r="F16" s="211"/>
      <c r="G16" s="211"/>
      <c r="H16" s="211"/>
      <c r="I16" s="211">
        <f>I14</f>
        <v>1678835.48</v>
      </c>
      <c r="J16" s="207"/>
    </row>
    <row r="17" spans="1:10" s="208" customFormat="1" ht="23.25" customHeight="1">
      <c r="A17" s="209" t="s">
        <v>27</v>
      </c>
      <c r="B17" s="209">
        <v>18</v>
      </c>
      <c r="C17" s="210" t="s">
        <v>296</v>
      </c>
      <c r="D17" s="210" t="s">
        <v>297</v>
      </c>
      <c r="E17" s="211"/>
      <c r="F17" s="211"/>
      <c r="G17" s="211"/>
      <c r="H17" s="211">
        <v>242359.99</v>
      </c>
      <c r="I17" s="211">
        <f>I16+E17-H17</f>
        <v>1436475.49</v>
      </c>
      <c r="J17" s="207"/>
    </row>
    <row r="18" spans="1:10" s="208" customFormat="1" ht="23.25" customHeight="1">
      <c r="A18" s="212"/>
      <c r="B18" s="209"/>
      <c r="C18" s="210"/>
      <c r="D18" s="323"/>
      <c r="E18" s="218"/>
      <c r="F18" s="218"/>
      <c r="G18" s="218"/>
      <c r="H18" s="218"/>
      <c r="I18" s="218"/>
      <c r="J18" s="207"/>
    </row>
    <row r="19" spans="1:10" s="208" customFormat="1" ht="23.25" customHeight="1" thickBot="1">
      <c r="A19" s="209"/>
      <c r="B19" s="209"/>
      <c r="C19" s="210"/>
      <c r="D19" s="209" t="s">
        <v>18</v>
      </c>
      <c r="E19" s="214">
        <f>SUM(E17:E17)</f>
        <v>0</v>
      </c>
      <c r="F19" s="214">
        <f>SUM(F17:F17)</f>
        <v>0</v>
      </c>
      <c r="G19" s="214">
        <f>SUM(G17:G17)</f>
        <v>0</v>
      </c>
      <c r="H19" s="214">
        <f>SUM(H17:H17)</f>
        <v>242359.99</v>
      </c>
      <c r="I19" s="214">
        <f>I17</f>
        <v>1436475.49</v>
      </c>
      <c r="J19" s="207"/>
    </row>
    <row r="20" spans="1:10" s="208" customFormat="1" ht="23.25" customHeight="1" thickBot="1" thickTop="1">
      <c r="A20" s="209"/>
      <c r="B20" s="209"/>
      <c r="C20" s="210"/>
      <c r="D20" s="209" t="s">
        <v>19</v>
      </c>
      <c r="E20" s="215">
        <f>E14+E19</f>
        <v>1963260</v>
      </c>
      <c r="F20" s="215">
        <f>F19</f>
        <v>0</v>
      </c>
      <c r="G20" s="215">
        <f>G19</f>
        <v>0</v>
      </c>
      <c r="H20" s="215">
        <f>H14+H17</f>
        <v>526784.51</v>
      </c>
      <c r="I20" s="215">
        <f>E20-H20</f>
        <v>1436475.49</v>
      </c>
      <c r="J20" s="207"/>
    </row>
    <row r="21" spans="1:10" s="53" customFormat="1" ht="23.25" customHeight="1" thickTop="1">
      <c r="A21" s="84"/>
      <c r="B21" s="82"/>
      <c r="C21" s="83"/>
      <c r="D21" s="82"/>
      <c r="E21" s="93"/>
      <c r="F21" s="93"/>
      <c r="G21" s="93"/>
      <c r="H21" s="93"/>
      <c r="I21" s="93"/>
      <c r="J21" s="76"/>
    </row>
    <row r="22" spans="1:9" ht="23.25" customHeight="1">
      <c r="A22" s="27"/>
      <c r="B22" s="27"/>
      <c r="C22" s="26"/>
      <c r="D22" s="114" t="s">
        <v>20</v>
      </c>
      <c r="E22" s="19"/>
      <c r="F22" s="19"/>
      <c r="G22" s="19"/>
      <c r="H22" s="19"/>
      <c r="I22" s="19">
        <f>I20</f>
        <v>1436475.49</v>
      </c>
    </row>
    <row r="23" spans="1:9" ht="23.25" customHeight="1">
      <c r="A23" s="12" t="s">
        <v>28</v>
      </c>
      <c r="B23" s="12">
        <v>16</v>
      </c>
      <c r="C23" s="20" t="s">
        <v>350</v>
      </c>
      <c r="D23" s="6" t="s">
        <v>349</v>
      </c>
      <c r="E23" s="16"/>
      <c r="F23" s="16"/>
      <c r="G23" s="16"/>
      <c r="H23" s="16">
        <v>242360</v>
      </c>
      <c r="I23" s="16">
        <f>I22+E23-H23</f>
        <v>1194115.49</v>
      </c>
    </row>
    <row r="24" spans="1:9" ht="23.25" customHeight="1">
      <c r="A24" s="12"/>
      <c r="B24" s="12"/>
      <c r="C24" s="6"/>
      <c r="D24" s="6"/>
      <c r="E24" s="16"/>
      <c r="F24" s="16"/>
      <c r="G24" s="16"/>
      <c r="H24" s="16"/>
      <c r="I24" s="16"/>
    </row>
    <row r="25" spans="1:9" ht="23.25" customHeight="1" thickBot="1">
      <c r="A25" s="12"/>
      <c r="B25" s="12"/>
      <c r="C25" s="6"/>
      <c r="D25" s="12" t="s">
        <v>18</v>
      </c>
      <c r="E25" s="38">
        <f>SUM(E23:E24)</f>
        <v>0</v>
      </c>
      <c r="F25" s="38">
        <f>SUM(F22:F24)</f>
        <v>0</v>
      </c>
      <c r="G25" s="350">
        <f>SUM(G22:G24)</f>
        <v>0</v>
      </c>
      <c r="H25" s="38">
        <f>SUM(H22:H24)</f>
        <v>242360</v>
      </c>
      <c r="I25" s="38">
        <f>I23</f>
        <v>1194115.49</v>
      </c>
    </row>
    <row r="26" spans="1:9" ht="23.25" customHeight="1" thickBot="1" thickTop="1">
      <c r="A26" s="12"/>
      <c r="B26" s="12"/>
      <c r="C26" s="6"/>
      <c r="D26" s="12" t="s">
        <v>19</v>
      </c>
      <c r="E26" s="39">
        <f>E20+E25</f>
        <v>1963260</v>
      </c>
      <c r="F26" s="39">
        <f>F20+F25</f>
        <v>0</v>
      </c>
      <c r="G26" s="39">
        <f>G20+G25</f>
        <v>0</v>
      </c>
      <c r="H26" s="39">
        <f>H20+H25</f>
        <v>769144.51</v>
      </c>
      <c r="I26" s="39">
        <f>I25</f>
        <v>1194115.49</v>
      </c>
    </row>
    <row r="27" spans="1:9" ht="23.25" customHeight="1" thickTop="1">
      <c r="A27" s="22"/>
      <c r="B27" s="12"/>
      <c r="C27" s="6"/>
      <c r="D27" s="12"/>
      <c r="E27" s="16"/>
      <c r="F27" s="16"/>
      <c r="G27" s="16"/>
      <c r="H27" s="16"/>
      <c r="I27" s="16"/>
    </row>
    <row r="28" spans="1:9" ht="23.25" customHeight="1">
      <c r="A28" s="27"/>
      <c r="B28" s="27"/>
      <c r="C28" s="26"/>
      <c r="D28" s="114" t="s">
        <v>20</v>
      </c>
      <c r="E28" s="19"/>
      <c r="F28" s="19"/>
      <c r="G28" s="19"/>
      <c r="H28" s="19"/>
      <c r="I28" s="19">
        <f>I26</f>
        <v>1194115.49</v>
      </c>
    </row>
    <row r="29" spans="1:9" ht="23.25" customHeight="1">
      <c r="A29" s="12" t="s">
        <v>29</v>
      </c>
      <c r="B29" s="12">
        <v>16</v>
      </c>
      <c r="C29" s="20" t="s">
        <v>385</v>
      </c>
      <c r="D29" s="6" t="s">
        <v>386</v>
      </c>
      <c r="E29" s="16"/>
      <c r="F29" s="16"/>
      <c r="G29" s="16"/>
      <c r="H29" s="16">
        <v>320860</v>
      </c>
      <c r="I29" s="16">
        <f>I28+E29-H29</f>
        <v>873255.49</v>
      </c>
    </row>
    <row r="30" spans="1:9" ht="23.25" customHeight="1">
      <c r="A30" s="12"/>
      <c r="B30" s="12"/>
      <c r="C30" s="20" t="s">
        <v>387</v>
      </c>
      <c r="D30" s="6" t="s">
        <v>349</v>
      </c>
      <c r="E30" s="16"/>
      <c r="F30" s="16"/>
      <c r="G30" s="16"/>
      <c r="H30" s="16">
        <v>60000</v>
      </c>
      <c r="I30" s="16">
        <f>I29+E30-H30</f>
        <v>813255.49</v>
      </c>
    </row>
    <row r="31" spans="1:9" ht="23.25" customHeight="1">
      <c r="A31" s="12"/>
      <c r="B31" s="12"/>
      <c r="C31" s="6"/>
      <c r="D31" s="6"/>
      <c r="E31" s="16"/>
      <c r="F31" s="16"/>
      <c r="G31" s="16"/>
      <c r="H31" s="16"/>
      <c r="I31" s="16"/>
    </row>
    <row r="32" spans="1:9" ht="23.25" customHeight="1" thickBot="1">
      <c r="A32" s="12"/>
      <c r="B32" s="12"/>
      <c r="C32" s="6"/>
      <c r="D32" s="12" t="s">
        <v>18</v>
      </c>
      <c r="E32" s="38">
        <f>SUM(E29:E31)</f>
        <v>0</v>
      </c>
      <c r="F32" s="38">
        <f>SUM(F28:F31)</f>
        <v>0</v>
      </c>
      <c r="G32" s="350">
        <f>SUM(G28:G31)</f>
        <v>0</v>
      </c>
      <c r="H32" s="38">
        <f>SUM(H28:H31)</f>
        <v>380860</v>
      </c>
      <c r="I32" s="38">
        <f>I30</f>
        <v>813255.49</v>
      </c>
    </row>
    <row r="33" spans="1:9" ht="23.25" customHeight="1" thickBot="1" thickTop="1">
      <c r="A33" s="12"/>
      <c r="B33" s="12"/>
      <c r="C33" s="6"/>
      <c r="D33" s="12" t="s">
        <v>19</v>
      </c>
      <c r="E33" s="39">
        <f>E26+E32</f>
        <v>1963260</v>
      </c>
      <c r="F33" s="39">
        <f>F26+F32</f>
        <v>0</v>
      </c>
      <c r="G33" s="39">
        <f>G26+G32</f>
        <v>0</v>
      </c>
      <c r="H33" s="39">
        <f>H26+H32</f>
        <v>1150004.51</v>
      </c>
      <c r="I33" s="39">
        <f>I32</f>
        <v>813255.49</v>
      </c>
    </row>
    <row r="34" spans="1:9" ht="23.25" customHeight="1" thickTop="1">
      <c r="A34" s="12"/>
      <c r="B34" s="12"/>
      <c r="C34" s="6"/>
      <c r="D34" s="12"/>
      <c r="E34" s="16"/>
      <c r="F34" s="16"/>
      <c r="G34" s="16"/>
      <c r="H34" s="16"/>
      <c r="I34" s="16"/>
    </row>
    <row r="35" spans="1:10" s="53" customFormat="1" ht="23.25" customHeight="1">
      <c r="A35" s="84"/>
      <c r="B35" s="122"/>
      <c r="C35" s="123"/>
      <c r="D35" s="122"/>
      <c r="E35" s="124"/>
      <c r="F35" s="124"/>
      <c r="G35" s="124"/>
      <c r="H35" s="124"/>
      <c r="I35" s="124"/>
      <c r="J35" s="76"/>
    </row>
    <row r="36" spans="1:9" ht="23.25" customHeight="1">
      <c r="A36" s="27"/>
      <c r="B36" s="27"/>
      <c r="C36" s="26"/>
      <c r="D36" s="114" t="s">
        <v>20</v>
      </c>
      <c r="E36" s="19"/>
      <c r="F36" s="19"/>
      <c r="G36" s="19"/>
      <c r="H36" s="19"/>
      <c r="I36" s="19">
        <f>I33</f>
        <v>813255.49</v>
      </c>
    </row>
    <row r="37" spans="1:9" ht="23.25" customHeight="1">
      <c r="A37" s="12" t="s">
        <v>30</v>
      </c>
      <c r="B37" s="12">
        <v>1</v>
      </c>
      <c r="C37" s="20" t="s">
        <v>412</v>
      </c>
      <c r="D37" s="20" t="s">
        <v>265</v>
      </c>
      <c r="E37" s="16">
        <v>539500</v>
      </c>
      <c r="F37" s="16"/>
      <c r="G37" s="16"/>
      <c r="H37" s="16"/>
      <c r="I37" s="16">
        <f>I36+E37-H37</f>
        <v>1352755.49</v>
      </c>
    </row>
    <row r="38" spans="1:9" ht="23.25" customHeight="1">
      <c r="A38" s="12"/>
      <c r="B38" s="12"/>
      <c r="C38" s="20" t="s">
        <v>394</v>
      </c>
      <c r="D38" s="6"/>
      <c r="E38" s="16"/>
      <c r="F38" s="16"/>
      <c r="G38" s="16"/>
      <c r="H38" s="16"/>
      <c r="I38" s="16"/>
    </row>
    <row r="39" spans="1:9" ht="23.25" customHeight="1">
      <c r="A39" s="12"/>
      <c r="B39" s="12">
        <v>17</v>
      </c>
      <c r="C39" s="20" t="s">
        <v>406</v>
      </c>
      <c r="D39" s="6" t="s">
        <v>407</v>
      </c>
      <c r="E39" s="16"/>
      <c r="F39" s="16"/>
      <c r="G39" s="16"/>
      <c r="H39" s="16">
        <v>320860</v>
      </c>
      <c r="I39" s="16">
        <f>I37+E39-H39</f>
        <v>1031895.49</v>
      </c>
    </row>
    <row r="40" spans="1:9" ht="23.25" customHeight="1">
      <c r="A40" s="12"/>
      <c r="B40" s="12"/>
      <c r="C40" s="6"/>
      <c r="D40" s="6"/>
      <c r="E40" s="16"/>
      <c r="F40" s="16"/>
      <c r="G40" s="16"/>
      <c r="H40" s="16"/>
      <c r="I40" s="16"/>
    </row>
    <row r="41" spans="1:9" ht="23.25" customHeight="1" thickBot="1">
      <c r="A41" s="12"/>
      <c r="B41" s="12"/>
      <c r="C41" s="6"/>
      <c r="D41" s="12" t="s">
        <v>18</v>
      </c>
      <c r="E41" s="38">
        <f>SUM(E37:E40)</f>
        <v>539500</v>
      </c>
      <c r="F41" s="38">
        <f>SUM(F36:F40)</f>
        <v>0</v>
      </c>
      <c r="G41" s="350">
        <f>SUM(G36:G40)</f>
        <v>0</v>
      </c>
      <c r="H41" s="38">
        <f>SUM(H36:H40)</f>
        <v>320860</v>
      </c>
      <c r="I41" s="38">
        <f>I39</f>
        <v>1031895.49</v>
      </c>
    </row>
    <row r="42" spans="1:9" ht="23.25" customHeight="1" thickBot="1" thickTop="1">
      <c r="A42" s="12"/>
      <c r="B42" s="12"/>
      <c r="C42" s="6"/>
      <c r="D42" s="12" t="s">
        <v>19</v>
      </c>
      <c r="E42" s="39">
        <f>E33+E41</f>
        <v>2502760</v>
      </c>
      <c r="F42" s="39">
        <f>F33+F41</f>
        <v>0</v>
      </c>
      <c r="G42" s="39">
        <f>G33+G41</f>
        <v>0</v>
      </c>
      <c r="H42" s="39">
        <f>H33+H41</f>
        <v>1470864.51</v>
      </c>
      <c r="I42" s="39">
        <f>E42-H42</f>
        <v>1031895.49</v>
      </c>
    </row>
    <row r="43" spans="1:9" ht="23.25" customHeight="1" thickTop="1">
      <c r="A43" s="22"/>
      <c r="B43" s="12"/>
      <c r="C43" s="6"/>
      <c r="D43" s="12"/>
      <c r="E43" s="16"/>
      <c r="F43" s="16"/>
      <c r="G43" s="16"/>
      <c r="H43" s="16"/>
      <c r="I43" s="16"/>
    </row>
    <row r="44" spans="1:9" ht="23.25" customHeight="1">
      <c r="A44" s="27"/>
      <c r="B44" s="27"/>
      <c r="C44" s="26"/>
      <c r="D44" s="114" t="s">
        <v>20</v>
      </c>
      <c r="E44" s="19"/>
      <c r="F44" s="19"/>
      <c r="G44" s="19"/>
      <c r="H44" s="19"/>
      <c r="I44" s="19">
        <f>I42</f>
        <v>1031895.49</v>
      </c>
    </row>
    <row r="45" spans="1:9" ht="23.25" customHeight="1">
      <c r="A45" s="12" t="s">
        <v>31</v>
      </c>
      <c r="B45" s="12">
        <v>18</v>
      </c>
      <c r="C45" s="20" t="s">
        <v>444</v>
      </c>
      <c r="D45" s="6" t="s">
        <v>417</v>
      </c>
      <c r="E45" s="16"/>
      <c r="F45" s="16"/>
      <c r="G45" s="16"/>
      <c r="H45" s="16">
        <v>220110</v>
      </c>
      <c r="I45" s="16">
        <f>I44+E45-H45</f>
        <v>811785.49</v>
      </c>
    </row>
    <row r="46" spans="1:9" ht="23.25" customHeight="1">
      <c r="A46" s="12"/>
      <c r="B46" s="12"/>
      <c r="C46" s="20"/>
      <c r="D46" s="6" t="s">
        <v>181</v>
      </c>
      <c r="E46" s="16">
        <v>-811785.49</v>
      </c>
      <c r="F46" s="16"/>
      <c r="G46" s="16"/>
      <c r="H46" s="16"/>
      <c r="I46" s="16">
        <f>I45+E46-H46</f>
        <v>0</v>
      </c>
    </row>
    <row r="47" spans="1:9" ht="23.25" customHeight="1">
      <c r="A47" s="12"/>
      <c r="B47" s="12"/>
      <c r="C47" s="6"/>
      <c r="D47" s="6"/>
      <c r="E47" s="16"/>
      <c r="F47" s="16"/>
      <c r="G47" s="16"/>
      <c r="H47" s="16"/>
      <c r="I47" s="16"/>
    </row>
    <row r="48" spans="1:9" ht="23.25" customHeight="1" thickBot="1">
      <c r="A48" s="12"/>
      <c r="B48" s="12"/>
      <c r="C48" s="6"/>
      <c r="D48" s="12" t="s">
        <v>18</v>
      </c>
      <c r="E48" s="38">
        <f>SUM(E45:E47)</f>
        <v>-811785.49</v>
      </c>
      <c r="F48" s="38">
        <f>SUM(F44:F47)</f>
        <v>0</v>
      </c>
      <c r="G48" s="350">
        <f>SUM(G44:G47)</f>
        <v>0</v>
      </c>
      <c r="H48" s="38">
        <f>SUM(H44:H47)</f>
        <v>220110</v>
      </c>
      <c r="I48" s="38">
        <f>I46</f>
        <v>0</v>
      </c>
    </row>
    <row r="49" spans="1:9" ht="23.25" customHeight="1" thickBot="1" thickTop="1">
      <c r="A49" s="13"/>
      <c r="B49" s="13"/>
      <c r="C49" s="10"/>
      <c r="D49" s="13" t="s">
        <v>19</v>
      </c>
      <c r="E49" s="39">
        <f>E42+E48</f>
        <v>1690974.51</v>
      </c>
      <c r="F49" s="39">
        <f>F42+F48</f>
        <v>0</v>
      </c>
      <c r="G49" s="39">
        <f>G42+G48</f>
        <v>0</v>
      </c>
      <c r="H49" s="39">
        <f>H42+H48</f>
        <v>1690974.51</v>
      </c>
      <c r="I49" s="39">
        <f>E49-H49</f>
        <v>0</v>
      </c>
    </row>
    <row r="50" ht="24" thickTop="1"/>
  </sheetData>
  <sheetProtection/>
  <mergeCells count="8">
    <mergeCell ref="A1:H1"/>
    <mergeCell ref="A2:I2"/>
    <mergeCell ref="A3:I3"/>
    <mergeCell ref="A4:I4"/>
    <mergeCell ref="A5:I5"/>
    <mergeCell ref="C6:C7"/>
    <mergeCell ref="D6:D7"/>
    <mergeCell ref="E6:I6"/>
  </mergeCells>
  <printOptions/>
  <pageMargins left="0.15748031496062992" right="0.15748031496062992" top="0.7874015748031497" bottom="0.5905511811023623" header="0.31496062992125984" footer="0.31496062992125984"/>
  <pageSetup horizontalDpi="180" verticalDpi="18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1">
      <selection activeCell="I48" sqref="I48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0" width="13.140625" style="25" customWidth="1"/>
    <col min="11" max="16384" width="9.140625" style="1" customWidth="1"/>
  </cols>
  <sheetData>
    <row r="1" spans="1:10" s="2" customFormat="1" ht="28.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66" t="s">
        <v>82</v>
      </c>
      <c r="B2" s="366"/>
      <c r="C2" s="366"/>
      <c r="D2" s="366"/>
      <c r="E2" s="366"/>
      <c r="F2" s="366"/>
      <c r="G2" s="366"/>
      <c r="H2" s="366"/>
      <c r="I2" s="366"/>
      <c r="J2" s="33"/>
      <c r="K2" s="33"/>
      <c r="L2" s="33"/>
      <c r="M2" s="33"/>
      <c r="N2" s="33"/>
    </row>
    <row r="3" spans="1:14" ht="23.25">
      <c r="A3" s="367" t="s">
        <v>266</v>
      </c>
      <c r="B3" s="367"/>
      <c r="C3" s="367"/>
      <c r="D3" s="367"/>
      <c r="E3" s="367"/>
      <c r="F3" s="367"/>
      <c r="G3" s="367"/>
      <c r="H3" s="367"/>
      <c r="I3" s="367"/>
      <c r="J3" s="34"/>
      <c r="K3" s="34"/>
      <c r="L3" s="34"/>
      <c r="M3" s="34"/>
      <c r="N3" s="34"/>
    </row>
    <row r="4" spans="1:14" ht="23.25">
      <c r="A4" s="368" t="s">
        <v>262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69" t="s">
        <v>308</v>
      </c>
      <c r="B5" s="369"/>
      <c r="C5" s="369"/>
      <c r="D5" s="369"/>
      <c r="E5" s="369"/>
      <c r="F5" s="369"/>
      <c r="G5" s="369"/>
      <c r="H5" s="369"/>
      <c r="I5" s="369"/>
      <c r="J5" s="34"/>
      <c r="K5" s="34"/>
      <c r="L5" s="34"/>
      <c r="M5" s="34"/>
      <c r="N5" s="34"/>
    </row>
    <row r="6" spans="1:10" s="30" customFormat="1" ht="23.25" customHeight="1">
      <c r="A6" s="7" t="s">
        <v>0</v>
      </c>
      <c r="B6" s="4"/>
      <c r="C6" s="370" t="s">
        <v>3</v>
      </c>
      <c r="D6" s="370" t="s">
        <v>4</v>
      </c>
      <c r="E6" s="371" t="s">
        <v>10</v>
      </c>
      <c r="F6" s="372"/>
      <c r="G6" s="372"/>
      <c r="H6" s="372"/>
      <c r="I6" s="373"/>
      <c r="J6" s="29"/>
    </row>
    <row r="7" spans="1:10" s="30" customFormat="1" ht="23.25" customHeight="1">
      <c r="A7" s="4" t="s">
        <v>1</v>
      </c>
      <c r="B7" s="4" t="s">
        <v>2</v>
      </c>
      <c r="C7" s="370"/>
      <c r="D7" s="370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29"/>
    </row>
    <row r="8" spans="1:9" ht="23.25" customHeight="1">
      <c r="A8" s="27" t="s">
        <v>26</v>
      </c>
      <c r="B8" s="27">
        <v>11</v>
      </c>
      <c r="C8" s="26" t="s">
        <v>263</v>
      </c>
      <c r="D8" s="26" t="s">
        <v>267</v>
      </c>
      <c r="E8" s="19">
        <v>29250</v>
      </c>
      <c r="F8" s="19"/>
      <c r="G8" s="19"/>
      <c r="H8" s="19"/>
      <c r="I8" s="19">
        <f>E8</f>
        <v>29250</v>
      </c>
    </row>
    <row r="9" spans="1:9" ht="23.25" customHeight="1">
      <c r="A9" s="12"/>
      <c r="B9" s="12"/>
      <c r="C9" s="20" t="s">
        <v>264</v>
      </c>
      <c r="D9" s="6" t="s">
        <v>268</v>
      </c>
      <c r="E9" s="16"/>
      <c r="F9" s="16"/>
      <c r="G9" s="16"/>
      <c r="H9" s="16"/>
      <c r="I9" s="16"/>
    </row>
    <row r="10" spans="1:9" ht="23.25" customHeight="1">
      <c r="A10" s="12"/>
      <c r="B10" s="209">
        <v>19</v>
      </c>
      <c r="C10" s="210" t="s">
        <v>275</v>
      </c>
      <c r="D10" s="210" t="s">
        <v>277</v>
      </c>
      <c r="E10" s="211"/>
      <c r="F10" s="211"/>
      <c r="G10" s="211"/>
      <c r="H10" s="211">
        <v>3750</v>
      </c>
      <c r="I10" s="211">
        <f>I8+E10-H10</f>
        <v>25500</v>
      </c>
    </row>
    <row r="11" spans="1:9" ht="23.25" customHeight="1">
      <c r="A11" s="12"/>
      <c r="B11" s="209"/>
      <c r="C11" s="210" t="s">
        <v>276</v>
      </c>
      <c r="D11" s="210" t="s">
        <v>278</v>
      </c>
      <c r="E11" s="211"/>
      <c r="F11" s="211"/>
      <c r="G11" s="211"/>
      <c r="H11" s="211">
        <v>1500</v>
      </c>
      <c r="I11" s="211">
        <f>I10+E11-H11</f>
        <v>24000</v>
      </c>
    </row>
    <row r="12" spans="1:9" ht="23.25" customHeight="1">
      <c r="A12" s="12"/>
      <c r="B12" s="12"/>
      <c r="C12" s="6"/>
      <c r="D12" s="12"/>
      <c r="E12" s="16"/>
      <c r="F12" s="16"/>
      <c r="G12" s="16"/>
      <c r="H12" s="16"/>
      <c r="I12" s="16"/>
    </row>
    <row r="13" spans="1:9" ht="23.25" customHeight="1" thickBot="1">
      <c r="A13" s="12"/>
      <c r="B13" s="12"/>
      <c r="C13" s="6"/>
      <c r="D13" s="12" t="s">
        <v>18</v>
      </c>
      <c r="E13" s="38">
        <f>SUM(E8:E12)</f>
        <v>29250</v>
      </c>
      <c r="F13" s="38">
        <f>SUM(F8:F12)</f>
        <v>0</v>
      </c>
      <c r="G13" s="38">
        <f>SUM(G8:G12)</f>
        <v>0</v>
      </c>
      <c r="H13" s="38">
        <f>SUM(H8:H12)</f>
        <v>5250</v>
      </c>
      <c r="I13" s="38">
        <f>I11</f>
        <v>24000</v>
      </c>
    </row>
    <row r="14" spans="1:9" ht="23.25" customHeight="1" thickBot="1" thickTop="1">
      <c r="A14" s="12"/>
      <c r="B14" s="12"/>
      <c r="C14" s="6"/>
      <c r="D14" s="12" t="s">
        <v>19</v>
      </c>
      <c r="E14" s="39">
        <f>E13</f>
        <v>29250</v>
      </c>
      <c r="F14" s="39">
        <f>F13</f>
        <v>0</v>
      </c>
      <c r="G14" s="39">
        <f>G13</f>
        <v>0</v>
      </c>
      <c r="H14" s="39">
        <f>H13</f>
        <v>5250</v>
      </c>
      <c r="I14" s="39">
        <f>E14-H14</f>
        <v>24000</v>
      </c>
    </row>
    <row r="15" spans="1:9" ht="23.25" customHeight="1" thickTop="1">
      <c r="A15" s="22"/>
      <c r="B15" s="12"/>
      <c r="C15" s="6"/>
      <c r="D15" s="12"/>
      <c r="E15" s="16"/>
      <c r="F15" s="16"/>
      <c r="G15" s="16"/>
      <c r="H15" s="16"/>
      <c r="I15" s="16"/>
    </row>
    <row r="16" spans="1:10" s="208" customFormat="1" ht="23.25" customHeight="1">
      <c r="A16" s="212"/>
      <c r="B16" s="209"/>
      <c r="C16" s="210"/>
      <c r="D16" s="212" t="s">
        <v>20</v>
      </c>
      <c r="E16" s="211"/>
      <c r="F16" s="211"/>
      <c r="G16" s="211"/>
      <c r="H16" s="211"/>
      <c r="I16" s="211">
        <f>I14</f>
        <v>24000</v>
      </c>
      <c r="J16" s="207"/>
    </row>
    <row r="17" spans="1:10" s="208" customFormat="1" ht="23.25" customHeight="1">
      <c r="A17" s="209" t="s">
        <v>27</v>
      </c>
      <c r="B17" s="209">
        <v>18</v>
      </c>
      <c r="C17" s="210" t="s">
        <v>294</v>
      </c>
      <c r="D17" s="210" t="s">
        <v>295</v>
      </c>
      <c r="E17" s="211"/>
      <c r="F17" s="211"/>
      <c r="G17" s="211"/>
      <c r="H17" s="211">
        <v>750</v>
      </c>
      <c r="I17" s="211">
        <f>I16+E17-H17</f>
        <v>23250</v>
      </c>
      <c r="J17" s="207"/>
    </row>
    <row r="18" spans="1:10" s="53" customFormat="1" ht="23.25" customHeight="1">
      <c r="A18" s="74"/>
      <c r="B18" s="72"/>
      <c r="C18" s="73"/>
      <c r="D18" s="94"/>
      <c r="E18" s="79"/>
      <c r="F18" s="79"/>
      <c r="G18" s="79"/>
      <c r="H18" s="79"/>
      <c r="I18" s="79"/>
      <c r="J18" s="76"/>
    </row>
    <row r="19" spans="1:10" s="208" customFormat="1" ht="23.25" customHeight="1" thickBot="1">
      <c r="A19" s="209"/>
      <c r="B19" s="209"/>
      <c r="C19" s="210"/>
      <c r="D19" s="209" t="s">
        <v>18</v>
      </c>
      <c r="E19" s="214">
        <f>SUM(E17:E17)</f>
        <v>0</v>
      </c>
      <c r="F19" s="214">
        <f>SUM(F17:F17)</f>
        <v>0</v>
      </c>
      <c r="G19" s="214">
        <f>SUM(G17:G17)</f>
        <v>0</v>
      </c>
      <c r="H19" s="214">
        <f>SUM(H17:H17)</f>
        <v>750</v>
      </c>
      <c r="I19" s="214">
        <f>I17</f>
        <v>23250</v>
      </c>
      <c r="J19" s="207"/>
    </row>
    <row r="20" spans="1:10" s="208" customFormat="1" ht="23.25" customHeight="1" thickBot="1" thickTop="1">
      <c r="A20" s="209"/>
      <c r="B20" s="209"/>
      <c r="C20" s="210"/>
      <c r="D20" s="209" t="s">
        <v>19</v>
      </c>
      <c r="E20" s="215">
        <f>E14+E19</f>
        <v>29250</v>
      </c>
      <c r="F20" s="215">
        <f>F14+F19</f>
        <v>0</v>
      </c>
      <c r="G20" s="215">
        <f>G14+G19</f>
        <v>0</v>
      </c>
      <c r="H20" s="215">
        <f>H14+H19</f>
        <v>6000</v>
      </c>
      <c r="I20" s="215">
        <f>E20-H20</f>
        <v>23250</v>
      </c>
      <c r="J20" s="207"/>
    </row>
    <row r="21" spans="1:10" s="53" customFormat="1" ht="23.25" customHeight="1" thickTop="1">
      <c r="A21" s="84"/>
      <c r="B21" s="82"/>
      <c r="C21" s="83"/>
      <c r="D21" s="82"/>
      <c r="E21" s="93"/>
      <c r="F21" s="93"/>
      <c r="G21" s="93"/>
      <c r="H21" s="93"/>
      <c r="I21" s="93"/>
      <c r="J21" s="76"/>
    </row>
    <row r="22" spans="1:9" ht="23.25" customHeight="1">
      <c r="A22" s="27"/>
      <c r="B22" s="27"/>
      <c r="C22" s="26"/>
      <c r="D22" s="114" t="s">
        <v>20</v>
      </c>
      <c r="E22" s="19"/>
      <c r="F22" s="19"/>
      <c r="G22" s="19"/>
      <c r="H22" s="19"/>
      <c r="I22" s="19">
        <f>I20</f>
        <v>23250</v>
      </c>
    </row>
    <row r="23" spans="1:9" ht="23.25" customHeight="1">
      <c r="A23" s="12" t="s">
        <v>28</v>
      </c>
      <c r="B23" s="12">
        <v>16</v>
      </c>
      <c r="C23" s="20" t="s">
        <v>353</v>
      </c>
      <c r="D23" s="6" t="s">
        <v>354</v>
      </c>
      <c r="E23" s="16"/>
      <c r="F23" s="16"/>
      <c r="G23" s="16"/>
      <c r="H23" s="16">
        <v>750</v>
      </c>
      <c r="I23" s="16">
        <f>I22+E23-H23</f>
        <v>22500</v>
      </c>
    </row>
    <row r="24" spans="1:9" ht="23.25" customHeight="1">
      <c r="A24" s="12"/>
      <c r="B24" s="12"/>
      <c r="C24" s="6"/>
      <c r="D24" s="6"/>
      <c r="E24" s="16"/>
      <c r="F24" s="16"/>
      <c r="G24" s="16"/>
      <c r="H24" s="16"/>
      <c r="I24" s="16"/>
    </row>
    <row r="25" spans="1:9" ht="23.25" customHeight="1" thickBot="1">
      <c r="A25" s="12"/>
      <c r="B25" s="12"/>
      <c r="C25" s="6"/>
      <c r="D25" s="12" t="s">
        <v>18</v>
      </c>
      <c r="E25" s="38">
        <f>SUM(E23:E24)</f>
        <v>0</v>
      </c>
      <c r="F25" s="38">
        <f>SUM(F22:F24)</f>
        <v>0</v>
      </c>
      <c r="G25" s="350">
        <f>SUM(G22:G24)</f>
        <v>0</v>
      </c>
      <c r="H25" s="38">
        <f>SUM(H22:H24)</f>
        <v>750</v>
      </c>
      <c r="I25" s="38">
        <f>I23</f>
        <v>22500</v>
      </c>
    </row>
    <row r="26" spans="1:9" ht="23.25" customHeight="1" thickBot="1" thickTop="1">
      <c r="A26" s="12"/>
      <c r="B26" s="12"/>
      <c r="C26" s="6"/>
      <c r="D26" s="12" t="s">
        <v>19</v>
      </c>
      <c r="E26" s="39">
        <f>E20+E25</f>
        <v>29250</v>
      </c>
      <c r="F26" s="39">
        <f>F20+F25</f>
        <v>0</v>
      </c>
      <c r="G26" s="39">
        <f>G20+G25</f>
        <v>0</v>
      </c>
      <c r="H26" s="39">
        <f>H20+H25</f>
        <v>6750</v>
      </c>
      <c r="I26" s="39">
        <f>I25</f>
        <v>22500</v>
      </c>
    </row>
    <row r="27" spans="1:9" ht="23.25" customHeight="1" thickTop="1">
      <c r="A27" s="27"/>
      <c r="B27" s="27"/>
      <c r="C27" s="26"/>
      <c r="D27" s="114" t="s">
        <v>20</v>
      </c>
      <c r="E27" s="19"/>
      <c r="F27" s="19"/>
      <c r="G27" s="19"/>
      <c r="H27" s="19"/>
      <c r="I27" s="19">
        <f>I25</f>
        <v>22500</v>
      </c>
    </row>
    <row r="28" spans="1:9" ht="23.25" customHeight="1">
      <c r="A28" s="12" t="s">
        <v>29</v>
      </c>
      <c r="B28" s="12">
        <v>16</v>
      </c>
      <c r="C28" s="20" t="s">
        <v>389</v>
      </c>
      <c r="D28" s="6" t="s">
        <v>388</v>
      </c>
      <c r="E28" s="16"/>
      <c r="F28" s="16"/>
      <c r="G28" s="16"/>
      <c r="H28" s="16">
        <v>1050</v>
      </c>
      <c r="I28" s="16">
        <f>I27+E28-H28</f>
        <v>21450</v>
      </c>
    </row>
    <row r="29" spans="1:9" ht="23.25" customHeight="1">
      <c r="A29" s="12"/>
      <c r="B29" s="12"/>
      <c r="C29" s="20" t="s">
        <v>390</v>
      </c>
      <c r="D29" s="6" t="s">
        <v>354</v>
      </c>
      <c r="E29" s="16"/>
      <c r="F29" s="16"/>
      <c r="G29" s="16"/>
      <c r="H29" s="16">
        <v>450</v>
      </c>
      <c r="I29" s="16">
        <f>I28+E29-H29</f>
        <v>21000</v>
      </c>
    </row>
    <row r="30" spans="1:9" ht="23.25" customHeight="1">
      <c r="A30" s="12"/>
      <c r="B30" s="12"/>
      <c r="C30" s="6"/>
      <c r="D30" s="6"/>
      <c r="E30" s="16"/>
      <c r="F30" s="16"/>
      <c r="G30" s="16"/>
      <c r="H30" s="16"/>
      <c r="I30" s="16"/>
    </row>
    <row r="31" spans="1:9" ht="23.25" customHeight="1" thickBot="1">
      <c r="A31" s="12"/>
      <c r="B31" s="12"/>
      <c r="C31" s="6"/>
      <c r="D31" s="12" t="s">
        <v>18</v>
      </c>
      <c r="E31" s="38">
        <f>SUM(E28:E30)</f>
        <v>0</v>
      </c>
      <c r="F31" s="38">
        <f>SUM(F27:F30)</f>
        <v>0</v>
      </c>
      <c r="G31" s="350">
        <f>SUM(G27:G30)</f>
        <v>0</v>
      </c>
      <c r="H31" s="38">
        <f>SUM(H27:H30)</f>
        <v>1500</v>
      </c>
      <c r="I31" s="38">
        <f>I29</f>
        <v>21000</v>
      </c>
    </row>
    <row r="32" spans="1:9" ht="23.25" customHeight="1" thickBot="1" thickTop="1">
      <c r="A32" s="12"/>
      <c r="B32" s="12"/>
      <c r="C32" s="6"/>
      <c r="D32" s="12" t="s">
        <v>19</v>
      </c>
      <c r="E32" s="39">
        <f>E26+E31</f>
        <v>29250</v>
      </c>
      <c r="F32" s="39">
        <f>F25+F31</f>
        <v>0</v>
      </c>
      <c r="G32" s="39">
        <f>G25+G31</f>
        <v>0</v>
      </c>
      <c r="H32" s="39">
        <f>H26+H31</f>
        <v>8250</v>
      </c>
      <c r="I32" s="39">
        <f>E32-H32</f>
        <v>21000</v>
      </c>
    </row>
    <row r="33" spans="1:9" ht="23.25" customHeight="1" thickTop="1">
      <c r="A33" s="22"/>
      <c r="B33" s="12"/>
      <c r="C33" s="6"/>
      <c r="D33" s="104"/>
      <c r="E33" s="16"/>
      <c r="F33" s="16"/>
      <c r="G33" s="16"/>
      <c r="H33" s="16"/>
      <c r="I33" s="16"/>
    </row>
    <row r="34" spans="1:9" ht="23.25" customHeight="1">
      <c r="A34" s="12"/>
      <c r="B34" s="12"/>
      <c r="C34" s="6"/>
      <c r="D34" s="12"/>
      <c r="E34" s="16"/>
      <c r="F34" s="16"/>
      <c r="G34" s="16"/>
      <c r="H34" s="16"/>
      <c r="I34" s="16"/>
    </row>
    <row r="35" spans="1:10" s="53" customFormat="1" ht="23.25" customHeight="1">
      <c r="A35" s="84"/>
      <c r="B35" s="122"/>
      <c r="C35" s="123"/>
      <c r="D35" s="122"/>
      <c r="E35" s="124"/>
      <c r="F35" s="124"/>
      <c r="G35" s="124"/>
      <c r="H35" s="124"/>
      <c r="I35" s="124"/>
      <c r="J35" s="76"/>
    </row>
    <row r="36" spans="1:9" ht="23.25" customHeight="1">
      <c r="A36" s="27"/>
      <c r="B36" s="27"/>
      <c r="C36" s="26"/>
      <c r="D36" s="114" t="s">
        <v>20</v>
      </c>
      <c r="E36" s="19"/>
      <c r="F36" s="19"/>
      <c r="G36" s="19"/>
      <c r="H36" s="19"/>
      <c r="I36" s="19">
        <f>I32</f>
        <v>21000</v>
      </c>
    </row>
    <row r="37" spans="1:9" ht="23.25" customHeight="1">
      <c r="A37" s="12" t="s">
        <v>30</v>
      </c>
      <c r="B37" s="12">
        <v>1</v>
      </c>
      <c r="C37" s="353" t="s">
        <v>412</v>
      </c>
      <c r="D37" s="353" t="s">
        <v>267</v>
      </c>
      <c r="E37" s="354">
        <v>9750</v>
      </c>
      <c r="F37" s="354"/>
      <c r="G37" s="354"/>
      <c r="H37" s="354"/>
      <c r="I37" s="354">
        <f>I36+E37</f>
        <v>30750</v>
      </c>
    </row>
    <row r="38" spans="1:9" ht="23.25" customHeight="1">
      <c r="A38" s="12"/>
      <c r="B38" s="12"/>
      <c r="C38" s="20" t="s">
        <v>413</v>
      </c>
      <c r="D38" s="6" t="s">
        <v>268</v>
      </c>
      <c r="E38" s="16"/>
      <c r="F38" s="16"/>
      <c r="G38" s="16"/>
      <c r="H38" s="16"/>
      <c r="I38" s="16"/>
    </row>
    <row r="39" spans="1:9" ht="23.25" customHeight="1">
      <c r="A39" s="12"/>
      <c r="B39" s="12">
        <v>16</v>
      </c>
      <c r="C39" s="20" t="s">
        <v>353</v>
      </c>
      <c r="D39" s="6" t="s">
        <v>408</v>
      </c>
      <c r="E39" s="16"/>
      <c r="F39" s="16"/>
      <c r="G39" s="16"/>
      <c r="H39" s="16">
        <v>5250</v>
      </c>
      <c r="I39" s="16">
        <f>I37+E39-H39</f>
        <v>25500</v>
      </c>
    </row>
    <row r="40" spans="1:9" ht="23.25" customHeight="1">
      <c r="A40" s="12"/>
      <c r="B40" s="12"/>
      <c r="C40" s="6"/>
      <c r="D40" s="6"/>
      <c r="E40" s="16"/>
      <c r="F40" s="16"/>
      <c r="G40" s="16"/>
      <c r="H40" s="16"/>
      <c r="I40" s="16"/>
    </row>
    <row r="41" spans="1:9" ht="23.25" customHeight="1" thickBot="1">
      <c r="A41" s="12"/>
      <c r="B41" s="12"/>
      <c r="C41" s="6"/>
      <c r="D41" s="12" t="s">
        <v>18</v>
      </c>
      <c r="E41" s="38">
        <f>SUM(E37:E40)</f>
        <v>9750</v>
      </c>
      <c r="F41" s="38">
        <f>SUM(F36:F40)</f>
        <v>0</v>
      </c>
      <c r="G41" s="350">
        <f>SUM(G36:G40)</f>
        <v>0</v>
      </c>
      <c r="H41" s="38">
        <f>SUM(H36:H40)</f>
        <v>5250</v>
      </c>
      <c r="I41" s="38">
        <f>I39</f>
        <v>25500</v>
      </c>
    </row>
    <row r="42" spans="1:9" ht="23.25" customHeight="1" thickBot="1" thickTop="1">
      <c r="A42" s="12"/>
      <c r="B42" s="12"/>
      <c r="C42" s="6"/>
      <c r="D42" s="12" t="s">
        <v>19</v>
      </c>
      <c r="E42" s="39">
        <f>E32+E41</f>
        <v>39000</v>
      </c>
      <c r="F42" s="39">
        <f>F34+F41</f>
        <v>0</v>
      </c>
      <c r="G42" s="39">
        <f>G34+G41</f>
        <v>0</v>
      </c>
      <c r="H42" s="39">
        <f>H32+H41</f>
        <v>13500</v>
      </c>
      <c r="I42" s="39">
        <f>E42-H42</f>
        <v>25500</v>
      </c>
    </row>
    <row r="43" spans="1:9" ht="23.25" customHeight="1" thickTop="1">
      <c r="A43" s="27"/>
      <c r="B43" s="27"/>
      <c r="C43" s="26"/>
      <c r="D43" s="114" t="s">
        <v>20</v>
      </c>
      <c r="E43" s="19"/>
      <c r="F43" s="19"/>
      <c r="G43" s="19"/>
      <c r="H43" s="19"/>
      <c r="I43" s="19">
        <f>I41</f>
        <v>25500</v>
      </c>
    </row>
    <row r="44" spans="1:9" ht="23.25" customHeight="1">
      <c r="A44" s="12" t="s">
        <v>31</v>
      </c>
      <c r="B44" s="12">
        <v>18</v>
      </c>
      <c r="C44" s="20" t="s">
        <v>445</v>
      </c>
      <c r="D44" s="6" t="s">
        <v>422</v>
      </c>
      <c r="E44" s="16"/>
      <c r="F44" s="16"/>
      <c r="G44" s="16"/>
      <c r="H44" s="16">
        <v>5250</v>
      </c>
      <c r="I44" s="16">
        <f>I43+E44-H44</f>
        <v>20250</v>
      </c>
    </row>
    <row r="45" spans="1:9" ht="23.25" customHeight="1">
      <c r="A45" s="12"/>
      <c r="B45" s="12"/>
      <c r="C45" s="20"/>
      <c r="D45" s="6" t="s">
        <v>181</v>
      </c>
      <c r="E45" s="16">
        <v>-20250</v>
      </c>
      <c r="F45" s="16"/>
      <c r="G45" s="16"/>
      <c r="H45" s="16"/>
      <c r="I45" s="16">
        <f>I44+E45-H45</f>
        <v>0</v>
      </c>
    </row>
    <row r="46" spans="1:9" ht="23.25" customHeight="1">
      <c r="A46" s="12"/>
      <c r="B46" s="12"/>
      <c r="C46" s="6"/>
      <c r="D46" s="6"/>
      <c r="E46" s="16"/>
      <c r="F46" s="16"/>
      <c r="G46" s="16"/>
      <c r="H46" s="16"/>
      <c r="I46" s="16"/>
    </row>
    <row r="47" spans="1:9" ht="23.25" customHeight="1" thickBot="1">
      <c r="A47" s="12"/>
      <c r="B47" s="12"/>
      <c r="C47" s="6"/>
      <c r="D47" s="12" t="s">
        <v>18</v>
      </c>
      <c r="E47" s="38">
        <f>SUM(E44:E46)</f>
        <v>-20250</v>
      </c>
      <c r="F47" s="38">
        <f>SUM(F43:F46)</f>
        <v>0</v>
      </c>
      <c r="G47" s="350">
        <f>SUM(G43:G46)</f>
        <v>0</v>
      </c>
      <c r="H47" s="38">
        <f>SUM(H43:H46)</f>
        <v>5250</v>
      </c>
      <c r="I47" s="38">
        <f>I45</f>
        <v>0</v>
      </c>
    </row>
    <row r="48" spans="1:9" ht="23.25" customHeight="1" thickBot="1" thickTop="1">
      <c r="A48" s="12"/>
      <c r="B48" s="12"/>
      <c r="C48" s="6"/>
      <c r="D48" s="12" t="s">
        <v>19</v>
      </c>
      <c r="E48" s="39">
        <f>E42+E47</f>
        <v>18750</v>
      </c>
      <c r="F48" s="39">
        <f>F41+F47</f>
        <v>0</v>
      </c>
      <c r="G48" s="39">
        <f>G41+G47</f>
        <v>0</v>
      </c>
      <c r="H48" s="39">
        <f>H42+H47</f>
        <v>18750</v>
      </c>
      <c r="I48" s="39">
        <f>E48-H48</f>
        <v>0</v>
      </c>
    </row>
    <row r="49" spans="1:9" ht="23.25" customHeight="1" thickTop="1">
      <c r="A49" s="32"/>
      <c r="B49" s="13"/>
      <c r="C49" s="10"/>
      <c r="D49" s="355"/>
      <c r="E49" s="17"/>
      <c r="F49" s="17"/>
      <c r="G49" s="17"/>
      <c r="H49" s="17"/>
      <c r="I49" s="17"/>
    </row>
  </sheetData>
  <sheetProtection/>
  <mergeCells count="8">
    <mergeCell ref="A1:H1"/>
    <mergeCell ref="A2:I2"/>
    <mergeCell ref="A3:I3"/>
    <mergeCell ref="A4:I4"/>
    <mergeCell ref="A5:I5"/>
    <mergeCell ref="C6:C7"/>
    <mergeCell ref="D6:D7"/>
    <mergeCell ref="E6:I6"/>
  </mergeCells>
  <printOptions/>
  <pageMargins left="0.15748031496062992" right="0.15748031496062992" top="0.7874015748031497" bottom="0.5905511811023623" header="0.31496062992125984" footer="0.31496062992125984"/>
  <pageSetup horizontalDpi="180" verticalDpi="18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0" width="13.140625" style="25" customWidth="1"/>
    <col min="11" max="16384" width="9.140625" style="1" customWidth="1"/>
  </cols>
  <sheetData>
    <row r="1" spans="1:10" s="2" customFormat="1" ht="28.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66" t="s">
        <v>82</v>
      </c>
      <c r="B2" s="366"/>
      <c r="C2" s="366"/>
      <c r="D2" s="366"/>
      <c r="E2" s="366"/>
      <c r="F2" s="366"/>
      <c r="G2" s="366"/>
      <c r="H2" s="366"/>
      <c r="I2" s="366"/>
      <c r="J2" s="33"/>
      <c r="K2" s="33"/>
      <c r="L2" s="33"/>
      <c r="M2" s="33"/>
      <c r="N2" s="33"/>
    </row>
    <row r="3" spans="1:14" ht="23.25">
      <c r="A3" s="367" t="s">
        <v>269</v>
      </c>
      <c r="B3" s="367"/>
      <c r="C3" s="367"/>
      <c r="D3" s="367"/>
      <c r="E3" s="367"/>
      <c r="F3" s="367"/>
      <c r="G3" s="367"/>
      <c r="H3" s="367"/>
      <c r="I3" s="367"/>
      <c r="J3" s="34"/>
      <c r="K3" s="34"/>
      <c r="L3" s="34"/>
      <c r="M3" s="34"/>
      <c r="N3" s="34"/>
    </row>
    <row r="4" spans="1:14" ht="23.25">
      <c r="A4" s="368" t="s">
        <v>262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69" t="s">
        <v>420</v>
      </c>
      <c r="B5" s="369"/>
      <c r="C5" s="369"/>
      <c r="D5" s="369"/>
      <c r="E5" s="369"/>
      <c r="F5" s="369"/>
      <c r="G5" s="369"/>
      <c r="H5" s="369"/>
      <c r="I5" s="369"/>
      <c r="J5" s="34"/>
      <c r="K5" s="34"/>
      <c r="L5" s="34"/>
      <c r="M5" s="34"/>
      <c r="N5" s="34"/>
    </row>
    <row r="6" spans="1:10" s="30" customFormat="1" ht="23.25" customHeight="1">
      <c r="A6" s="7" t="s">
        <v>0</v>
      </c>
      <c r="B6" s="4"/>
      <c r="C6" s="370" t="s">
        <v>3</v>
      </c>
      <c r="D6" s="370" t="s">
        <v>4</v>
      </c>
      <c r="E6" s="371" t="s">
        <v>10</v>
      </c>
      <c r="F6" s="372"/>
      <c r="G6" s="372"/>
      <c r="H6" s="372"/>
      <c r="I6" s="373"/>
      <c r="J6" s="29"/>
    </row>
    <row r="7" spans="1:10" s="30" customFormat="1" ht="23.25" customHeight="1">
      <c r="A7" s="4" t="s">
        <v>1</v>
      </c>
      <c r="B7" s="4" t="s">
        <v>2</v>
      </c>
      <c r="C7" s="370"/>
      <c r="D7" s="370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29"/>
    </row>
    <row r="8" spans="1:9" ht="23.25" customHeight="1">
      <c r="A8" s="27" t="s">
        <v>26</v>
      </c>
      <c r="B8" s="27">
        <v>11</v>
      </c>
      <c r="C8" s="26" t="s">
        <v>263</v>
      </c>
      <c r="D8" s="26" t="s">
        <v>270</v>
      </c>
      <c r="E8" s="19">
        <v>1560</v>
      </c>
      <c r="F8" s="19"/>
      <c r="G8" s="19"/>
      <c r="H8" s="19"/>
      <c r="I8" s="19">
        <f>E8</f>
        <v>1560</v>
      </c>
    </row>
    <row r="9" spans="1:9" ht="23.25" customHeight="1">
      <c r="A9" s="12"/>
      <c r="B9" s="12"/>
      <c r="C9" s="20" t="s">
        <v>264</v>
      </c>
      <c r="D9" s="6"/>
      <c r="E9" s="16"/>
      <c r="F9" s="16"/>
      <c r="G9" s="16"/>
      <c r="H9" s="16"/>
      <c r="I9" s="16"/>
    </row>
    <row r="10" spans="1:9" ht="23.25" customHeight="1">
      <c r="A10" s="12"/>
      <c r="B10" s="12"/>
      <c r="C10" s="6"/>
      <c r="D10" s="12"/>
      <c r="E10" s="16"/>
      <c r="F10" s="16"/>
      <c r="G10" s="16"/>
      <c r="H10" s="16"/>
      <c r="I10" s="16"/>
    </row>
    <row r="11" spans="1:9" ht="23.25" customHeight="1" thickBot="1">
      <c r="A11" s="12"/>
      <c r="B11" s="12"/>
      <c r="C11" s="6"/>
      <c r="D11" s="12" t="s">
        <v>18</v>
      </c>
      <c r="E11" s="38">
        <f>SUM(E8:E10)</f>
        <v>1560</v>
      </c>
      <c r="F11" s="38">
        <f>SUM(F8:F10)</f>
        <v>0</v>
      </c>
      <c r="G11" s="38">
        <f>SUM(G8:G10)</f>
        <v>0</v>
      </c>
      <c r="H11" s="38">
        <f>SUM(H8:H10)</f>
        <v>0</v>
      </c>
      <c r="I11" s="38">
        <f>I8</f>
        <v>1560</v>
      </c>
    </row>
    <row r="12" spans="1:9" ht="23.25" customHeight="1" thickBot="1" thickTop="1">
      <c r="A12" s="12"/>
      <c r="B12" s="12"/>
      <c r="C12" s="6"/>
      <c r="D12" s="12" t="s">
        <v>19</v>
      </c>
      <c r="E12" s="39">
        <f>E11</f>
        <v>1560</v>
      </c>
      <c r="F12" s="39">
        <f>F11</f>
        <v>0</v>
      </c>
      <c r="G12" s="39">
        <f>G11</f>
        <v>0</v>
      </c>
      <c r="H12" s="39">
        <f>H11</f>
        <v>0</v>
      </c>
      <c r="I12" s="39">
        <f>I11</f>
        <v>1560</v>
      </c>
    </row>
    <row r="13" spans="1:9" ht="23.25" customHeight="1" thickTop="1">
      <c r="A13" s="22"/>
      <c r="B13" s="12"/>
      <c r="C13" s="6"/>
      <c r="D13" s="12"/>
      <c r="E13" s="16"/>
      <c r="F13" s="16"/>
      <c r="G13" s="16"/>
      <c r="H13" s="16"/>
      <c r="I13" s="16"/>
    </row>
    <row r="14" spans="1:10" s="53" customFormat="1" ht="23.25" customHeight="1">
      <c r="A14" s="22"/>
      <c r="B14" s="12"/>
      <c r="C14" s="6"/>
      <c r="D14" s="22" t="s">
        <v>20</v>
      </c>
      <c r="E14" s="16"/>
      <c r="F14" s="16"/>
      <c r="G14" s="16"/>
      <c r="H14" s="16"/>
      <c r="I14" s="16">
        <f>I12</f>
        <v>1560</v>
      </c>
      <c r="J14" s="76"/>
    </row>
    <row r="15" spans="1:10" s="53" customFormat="1" ht="23.25" customHeight="1">
      <c r="A15" s="27" t="s">
        <v>30</v>
      </c>
      <c r="B15" s="27">
        <v>1</v>
      </c>
      <c r="C15" s="26" t="s">
        <v>412</v>
      </c>
      <c r="D15" s="26" t="s">
        <v>270</v>
      </c>
      <c r="E15" s="19">
        <v>520</v>
      </c>
      <c r="F15" s="19"/>
      <c r="G15" s="19"/>
      <c r="H15" s="19"/>
      <c r="I15" s="19">
        <f>I14+E15</f>
        <v>2080</v>
      </c>
      <c r="J15" s="76"/>
    </row>
    <row r="16" spans="1:10" s="53" customFormat="1" ht="23.25" customHeight="1">
      <c r="A16" s="12"/>
      <c r="B16" s="12"/>
      <c r="C16" s="20" t="s">
        <v>394</v>
      </c>
      <c r="D16" s="6"/>
      <c r="E16" s="16"/>
      <c r="F16" s="16"/>
      <c r="G16" s="16"/>
      <c r="H16" s="16"/>
      <c r="I16" s="16"/>
      <c r="J16" s="76"/>
    </row>
    <row r="17" spans="1:10" s="53" customFormat="1" ht="23.25" customHeight="1">
      <c r="A17" s="22"/>
      <c r="B17" s="12"/>
      <c r="C17" s="6"/>
      <c r="D17" s="104" t="s">
        <v>421</v>
      </c>
      <c r="E17" s="16"/>
      <c r="F17" s="16"/>
      <c r="G17" s="16">
        <v>1640</v>
      </c>
      <c r="H17" s="16">
        <v>0</v>
      </c>
      <c r="I17" s="16">
        <f>I15+E17-G17-H17</f>
        <v>440</v>
      </c>
      <c r="J17" s="76"/>
    </row>
    <row r="18" spans="1:10" s="53" customFormat="1" ht="23.25" customHeight="1">
      <c r="A18" s="22"/>
      <c r="B18" s="12"/>
      <c r="C18" s="6"/>
      <c r="D18" s="104" t="s">
        <v>181</v>
      </c>
      <c r="E18" s="19">
        <v>-440</v>
      </c>
      <c r="F18" s="19"/>
      <c r="G18" s="19"/>
      <c r="H18" s="19"/>
      <c r="I18" s="19">
        <f>I17+E18+F18+G18+H18</f>
        <v>0</v>
      </c>
      <c r="J18" s="76"/>
    </row>
    <row r="19" spans="1:10" s="53" customFormat="1" ht="23.25" customHeight="1" thickBot="1">
      <c r="A19" s="12"/>
      <c r="B19" s="12"/>
      <c r="C19" s="6"/>
      <c r="D19" s="12" t="s">
        <v>18</v>
      </c>
      <c r="E19" s="38">
        <f>SUM(E15:E18)</f>
        <v>80</v>
      </c>
      <c r="F19" s="38">
        <f>SUM(F15:F16)</f>
        <v>0</v>
      </c>
      <c r="G19" s="38">
        <f>SUM(G15:G18)</f>
        <v>1640</v>
      </c>
      <c r="H19" s="38">
        <f>SUM(H17)</f>
        <v>0</v>
      </c>
      <c r="I19" s="38">
        <f>I18</f>
        <v>0</v>
      </c>
      <c r="J19" s="76"/>
    </row>
    <row r="20" spans="1:10" s="53" customFormat="1" ht="23.25" customHeight="1" thickBot="1" thickTop="1">
      <c r="A20" s="12"/>
      <c r="B20" s="12"/>
      <c r="C20" s="6"/>
      <c r="D20" s="12" t="s">
        <v>19</v>
      </c>
      <c r="E20" s="39">
        <f>E12+E19</f>
        <v>1640</v>
      </c>
      <c r="F20" s="39">
        <f>F19</f>
        <v>0</v>
      </c>
      <c r="G20" s="39">
        <f>G19</f>
        <v>1640</v>
      </c>
      <c r="H20" s="39">
        <f>H12+H19</f>
        <v>0</v>
      </c>
      <c r="I20" s="39">
        <f>E20-G20</f>
        <v>0</v>
      </c>
      <c r="J20" s="76"/>
    </row>
    <row r="21" spans="1:10" s="53" customFormat="1" ht="23.25" customHeight="1" thickTop="1">
      <c r="A21" s="32"/>
      <c r="B21" s="13"/>
      <c r="C21" s="10"/>
      <c r="D21" s="13"/>
      <c r="E21" s="17"/>
      <c r="F21" s="17"/>
      <c r="G21" s="17"/>
      <c r="H21" s="17"/>
      <c r="I21" s="17"/>
      <c r="J21" s="76"/>
    </row>
  </sheetData>
  <sheetProtection/>
  <mergeCells count="8">
    <mergeCell ref="A1:H1"/>
    <mergeCell ref="A2:I2"/>
    <mergeCell ref="A3:I3"/>
    <mergeCell ref="A4:I4"/>
    <mergeCell ref="A5:I5"/>
    <mergeCell ref="C6:C7"/>
    <mergeCell ref="D6:D7"/>
    <mergeCell ref="E6:I6"/>
  </mergeCells>
  <printOptions/>
  <pageMargins left="0.15748031496062992" right="0.15748031496062992" top="0.7874015748031497" bottom="0.5905511811023623" header="0.31496062992125984" footer="0.31496062992125984"/>
  <pageSetup horizontalDpi="180" verticalDpi="18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6">
      <selection activeCell="D27" sqref="D27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0" width="13.140625" style="25" customWidth="1"/>
    <col min="11" max="16384" width="9.140625" style="1" customWidth="1"/>
  </cols>
  <sheetData>
    <row r="1" spans="1:10" s="2" customFormat="1" ht="28.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74" t="s">
        <v>329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ht="23.25">
      <c r="A3" s="375" t="s">
        <v>330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68" t="s">
        <v>331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76" t="s">
        <v>328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10" s="30" customFormat="1" ht="23.25" customHeight="1">
      <c r="A6" s="7" t="s">
        <v>0</v>
      </c>
      <c r="B6" s="4"/>
      <c r="C6" s="378" t="s">
        <v>3</v>
      </c>
      <c r="D6" s="378" t="s">
        <v>4</v>
      </c>
      <c r="E6" s="371" t="s">
        <v>10</v>
      </c>
      <c r="F6" s="372"/>
      <c r="G6" s="372"/>
      <c r="H6" s="372"/>
      <c r="I6" s="373"/>
      <c r="J6" s="29"/>
    </row>
    <row r="7" spans="1:10" s="30" customFormat="1" ht="23.25" customHeight="1">
      <c r="A7" s="4" t="s">
        <v>1</v>
      </c>
      <c r="B7" s="4" t="s">
        <v>2</v>
      </c>
      <c r="C7" s="379"/>
      <c r="D7" s="379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29"/>
    </row>
    <row r="8" spans="1:9" ht="23.25" customHeight="1">
      <c r="A8" s="27" t="s">
        <v>27</v>
      </c>
      <c r="B8" s="27">
        <v>19</v>
      </c>
      <c r="C8" s="26" t="s">
        <v>332</v>
      </c>
      <c r="D8" s="26" t="s">
        <v>51</v>
      </c>
      <c r="E8" s="19">
        <v>5000</v>
      </c>
      <c r="F8" s="19"/>
      <c r="G8" s="19"/>
      <c r="H8" s="19"/>
      <c r="I8" s="19">
        <f>E8</f>
        <v>5000</v>
      </c>
    </row>
    <row r="9" spans="1:9" ht="23.25" customHeight="1">
      <c r="A9" s="12"/>
      <c r="B9" s="12"/>
      <c r="C9" s="20" t="s">
        <v>327</v>
      </c>
      <c r="D9" s="6" t="s">
        <v>52</v>
      </c>
      <c r="E9" s="16"/>
      <c r="F9" s="16"/>
      <c r="G9" s="16"/>
      <c r="H9" s="16"/>
      <c r="I9" s="16"/>
    </row>
    <row r="10" spans="1:9" ht="23.25" customHeight="1">
      <c r="A10" s="12"/>
      <c r="B10" s="12"/>
      <c r="C10" s="6"/>
      <c r="D10" s="12"/>
      <c r="E10" s="16"/>
      <c r="F10" s="16"/>
      <c r="G10" s="16"/>
      <c r="H10" s="16"/>
      <c r="I10" s="16"/>
    </row>
    <row r="11" spans="1:9" ht="23.25" customHeight="1" thickBot="1">
      <c r="A11" s="12"/>
      <c r="B11" s="12"/>
      <c r="C11" s="6"/>
      <c r="D11" s="12" t="s">
        <v>18</v>
      </c>
      <c r="E11" s="38">
        <f>SUM(E8:E10)</f>
        <v>5000</v>
      </c>
      <c r="F11" s="38">
        <f>SUM(F8:F10)</f>
        <v>0</v>
      </c>
      <c r="G11" s="38">
        <f>SUM(G8:G10)</f>
        <v>0</v>
      </c>
      <c r="H11" s="38">
        <f>SUM(H8:H10)</f>
        <v>0</v>
      </c>
      <c r="I11" s="38">
        <f>I8</f>
        <v>5000</v>
      </c>
    </row>
    <row r="12" spans="1:9" ht="23.25" customHeight="1" thickBot="1" thickTop="1">
      <c r="A12" s="12"/>
      <c r="B12" s="12"/>
      <c r="C12" s="6"/>
      <c r="D12" s="12" t="s">
        <v>19</v>
      </c>
      <c r="E12" s="39">
        <f>E11</f>
        <v>5000</v>
      </c>
      <c r="F12" s="39">
        <f>F11</f>
        <v>0</v>
      </c>
      <c r="G12" s="39">
        <f>G11</f>
        <v>0</v>
      </c>
      <c r="H12" s="39">
        <f>H11</f>
        <v>0</v>
      </c>
      <c r="I12" s="39">
        <f>I11</f>
        <v>5000</v>
      </c>
    </row>
    <row r="13" spans="1:9" ht="23.25" customHeight="1" thickTop="1">
      <c r="A13" s="22"/>
      <c r="B13" s="12"/>
      <c r="C13" s="6"/>
      <c r="D13" s="12"/>
      <c r="E13" s="16"/>
      <c r="F13" s="16"/>
      <c r="G13" s="16"/>
      <c r="H13" s="16"/>
      <c r="I13" s="16"/>
    </row>
    <row r="14" spans="1:9" ht="23.25" customHeight="1">
      <c r="A14" s="22"/>
      <c r="B14" s="12"/>
      <c r="C14" s="6"/>
      <c r="D14" s="22" t="s">
        <v>20</v>
      </c>
      <c r="E14" s="16"/>
      <c r="F14" s="16"/>
      <c r="G14" s="16"/>
      <c r="H14" s="16"/>
      <c r="I14" s="16">
        <f>I12</f>
        <v>5000</v>
      </c>
    </row>
    <row r="15" spans="1:9" ht="23.25" customHeight="1">
      <c r="A15" s="27" t="s">
        <v>30</v>
      </c>
      <c r="B15" s="27">
        <v>1</v>
      </c>
      <c r="C15" s="26" t="s">
        <v>414</v>
      </c>
      <c r="D15" s="26" t="s">
        <v>51</v>
      </c>
      <c r="E15" s="19">
        <v>2400</v>
      </c>
      <c r="F15" s="19"/>
      <c r="G15" s="19"/>
      <c r="H15" s="19"/>
      <c r="I15" s="19">
        <f>I14+E15-H15</f>
        <v>7400</v>
      </c>
    </row>
    <row r="16" spans="1:9" ht="23.25" customHeight="1">
      <c r="A16" s="12"/>
      <c r="B16" s="12"/>
      <c r="C16" s="20" t="s">
        <v>394</v>
      </c>
      <c r="D16" s="6" t="s">
        <v>52</v>
      </c>
      <c r="E16" s="16"/>
      <c r="F16" s="16"/>
      <c r="G16" s="16"/>
      <c r="H16" s="16"/>
      <c r="I16" s="16"/>
    </row>
    <row r="17" spans="1:9" ht="23.25" customHeight="1">
      <c r="A17" s="12"/>
      <c r="B17" s="12"/>
      <c r="C17" s="6"/>
      <c r="D17" s="12"/>
      <c r="E17" s="16"/>
      <c r="F17" s="16"/>
      <c r="G17" s="16"/>
      <c r="H17" s="16"/>
      <c r="I17" s="16"/>
    </row>
    <row r="18" spans="1:9" ht="23.25" customHeight="1" thickBot="1">
      <c r="A18" s="12"/>
      <c r="B18" s="12"/>
      <c r="C18" s="6"/>
      <c r="D18" s="12" t="s">
        <v>18</v>
      </c>
      <c r="E18" s="38">
        <f>SUM(E15:E17)</f>
        <v>2400</v>
      </c>
      <c r="F18" s="38">
        <f>SUM(F15:F17)</f>
        <v>0</v>
      </c>
      <c r="G18" s="38">
        <f>SUM(G15:G17)</f>
        <v>0</v>
      </c>
      <c r="H18" s="38">
        <f>SUM(H15:H17)</f>
        <v>0</v>
      </c>
      <c r="I18" s="38">
        <f>I15</f>
        <v>7400</v>
      </c>
    </row>
    <row r="19" spans="1:9" ht="23.25" customHeight="1" thickBot="1" thickTop="1">
      <c r="A19" s="12"/>
      <c r="B19" s="12"/>
      <c r="C19" s="6"/>
      <c r="D19" s="12" t="s">
        <v>19</v>
      </c>
      <c r="E19" s="39">
        <f>E12+E18</f>
        <v>7400</v>
      </c>
      <c r="F19" s="39">
        <f>F12+F18</f>
        <v>0</v>
      </c>
      <c r="G19" s="39">
        <f>G12+G18</f>
        <v>0</v>
      </c>
      <c r="H19" s="39">
        <f>H12+H18</f>
        <v>0</v>
      </c>
      <c r="I19" s="39">
        <f>E19-H19</f>
        <v>7400</v>
      </c>
    </row>
    <row r="20" spans="1:9" ht="23.25" customHeight="1" thickTop="1">
      <c r="A20" s="27"/>
      <c r="B20" s="27"/>
      <c r="C20" s="28"/>
      <c r="D20" s="27"/>
      <c r="E20" s="19"/>
      <c r="F20" s="19"/>
      <c r="G20" s="19"/>
      <c r="H20" s="19"/>
      <c r="I20" s="19"/>
    </row>
    <row r="21" spans="1:9" ht="23.25" customHeight="1">
      <c r="A21" s="13"/>
      <c r="B21" s="13"/>
      <c r="C21" s="10"/>
      <c r="D21" s="13"/>
      <c r="E21" s="17"/>
      <c r="F21" s="17"/>
      <c r="G21" s="17"/>
      <c r="H21" s="17"/>
      <c r="I21" s="17"/>
    </row>
    <row r="22" spans="1:10" s="116" customFormat="1" ht="23.25" customHeight="1">
      <c r="A22" s="27"/>
      <c r="B22" s="27"/>
      <c r="C22" s="26"/>
      <c r="D22" s="114" t="s">
        <v>20</v>
      </c>
      <c r="E22" s="19"/>
      <c r="F22" s="19"/>
      <c r="G22" s="19"/>
      <c r="H22" s="19"/>
      <c r="I22" s="19">
        <f>I19</f>
        <v>7400</v>
      </c>
      <c r="J22" s="115"/>
    </row>
    <row r="23" spans="1:10" s="116" customFormat="1" ht="23.25" customHeight="1">
      <c r="A23" s="12" t="s">
        <v>31</v>
      </c>
      <c r="B23" s="12">
        <v>18</v>
      </c>
      <c r="C23" s="6" t="s">
        <v>441</v>
      </c>
      <c r="D23" s="104" t="s">
        <v>84</v>
      </c>
      <c r="E23" s="16"/>
      <c r="F23" s="16"/>
      <c r="G23" s="16"/>
      <c r="H23" s="16">
        <v>5000</v>
      </c>
      <c r="I23" s="16">
        <f>I22+E23-H23</f>
        <v>2400</v>
      </c>
      <c r="J23" s="115"/>
    </row>
    <row r="24" spans="1:10" s="116" customFormat="1" ht="23.25" customHeight="1">
      <c r="A24" s="12"/>
      <c r="B24" s="12"/>
      <c r="C24" s="6" t="s">
        <v>442</v>
      </c>
      <c r="D24" s="104" t="s">
        <v>443</v>
      </c>
      <c r="E24" s="16"/>
      <c r="F24" s="16"/>
      <c r="G24" s="16"/>
      <c r="H24" s="16">
        <v>2400</v>
      </c>
      <c r="I24" s="16">
        <f>I23+E24-H24</f>
        <v>0</v>
      </c>
      <c r="J24" s="115"/>
    </row>
    <row r="25" spans="1:9" ht="23.25" customHeight="1">
      <c r="A25" s="12"/>
      <c r="B25" s="12"/>
      <c r="C25" s="6"/>
      <c r="D25" s="12"/>
      <c r="E25" s="16"/>
      <c r="F25" s="16"/>
      <c r="G25" s="16"/>
      <c r="H25" s="16"/>
      <c r="I25" s="16"/>
    </row>
    <row r="26" spans="1:9" ht="23.25" customHeight="1" thickBot="1">
      <c r="A26" s="12"/>
      <c r="B26" s="12"/>
      <c r="C26" s="6"/>
      <c r="D26" s="12" t="s">
        <v>18</v>
      </c>
      <c r="E26" s="38">
        <f>SUM(E23:E25)</f>
        <v>0</v>
      </c>
      <c r="F26" s="38">
        <f>SUM(F23:F25)</f>
        <v>0</v>
      </c>
      <c r="G26" s="38">
        <f>SUM(G23:G25)</f>
        <v>0</v>
      </c>
      <c r="H26" s="38">
        <f>SUM(H23:H25)</f>
        <v>7400</v>
      </c>
      <c r="I26" s="38">
        <f>I24</f>
        <v>0</v>
      </c>
    </row>
    <row r="27" spans="1:9" ht="23.25" customHeight="1" thickBot="1" thickTop="1">
      <c r="A27" s="12"/>
      <c r="B27" s="12"/>
      <c r="C27" s="6"/>
      <c r="D27" s="12" t="s">
        <v>19</v>
      </c>
      <c r="E27" s="39">
        <f>E19+E26</f>
        <v>7400</v>
      </c>
      <c r="F27" s="39">
        <f>F19+F26</f>
        <v>0</v>
      </c>
      <c r="G27" s="39">
        <f>G19+G26</f>
        <v>0</v>
      </c>
      <c r="H27" s="39">
        <f>H19+H26</f>
        <v>7400</v>
      </c>
      <c r="I27" s="39">
        <f>I26</f>
        <v>0</v>
      </c>
    </row>
    <row r="28" spans="1:9" ht="23.25" customHeight="1" thickTop="1">
      <c r="A28" s="22"/>
      <c r="B28" s="12"/>
      <c r="C28" s="6"/>
      <c r="D28" s="12"/>
      <c r="E28" s="16"/>
      <c r="F28" s="16"/>
      <c r="G28" s="16"/>
      <c r="H28" s="16"/>
      <c r="I28" s="16"/>
    </row>
    <row r="29" spans="1:9" ht="23.25" customHeight="1">
      <c r="A29" s="22"/>
      <c r="B29" s="12"/>
      <c r="C29" s="6"/>
      <c r="D29" s="22"/>
      <c r="E29" s="16"/>
      <c r="F29" s="16"/>
      <c r="G29" s="16"/>
      <c r="H29" s="16"/>
      <c r="I29" s="16"/>
    </row>
    <row r="30" spans="1:10" s="53" customFormat="1" ht="23.25" customHeight="1">
      <c r="A30" s="72"/>
      <c r="B30" s="72"/>
      <c r="C30" s="73"/>
      <c r="D30" s="94"/>
      <c r="E30" s="75"/>
      <c r="F30" s="75"/>
      <c r="G30" s="75"/>
      <c r="H30" s="75"/>
      <c r="I30" s="75"/>
      <c r="J30" s="76"/>
    </row>
    <row r="31" spans="1:9" ht="23.25" customHeight="1">
      <c r="A31" s="12"/>
      <c r="B31" s="12"/>
      <c r="C31" s="6"/>
      <c r="D31" s="12"/>
      <c r="E31" s="16"/>
      <c r="F31" s="16"/>
      <c r="G31" s="16"/>
      <c r="H31" s="16"/>
      <c r="I31" s="16"/>
    </row>
    <row r="32" spans="1:9" ht="23.25" customHeight="1">
      <c r="A32" s="12"/>
      <c r="B32" s="12"/>
      <c r="C32" s="6"/>
      <c r="D32" s="12"/>
      <c r="E32" s="16"/>
      <c r="F32" s="16"/>
      <c r="G32" s="16"/>
      <c r="H32" s="16"/>
      <c r="I32" s="16"/>
    </row>
    <row r="33" spans="1:9" ht="23.25" customHeight="1">
      <c r="A33" s="12"/>
      <c r="B33" s="12"/>
      <c r="C33" s="6"/>
      <c r="D33" s="12"/>
      <c r="E33" s="16"/>
      <c r="F33" s="16"/>
      <c r="G33" s="16"/>
      <c r="H33" s="16"/>
      <c r="I33" s="16"/>
    </row>
    <row r="34" spans="1:10" s="53" customFormat="1" ht="23.25" customHeight="1">
      <c r="A34" s="72"/>
      <c r="B34" s="91"/>
      <c r="C34" s="92"/>
      <c r="D34" s="91"/>
      <c r="E34" s="202"/>
      <c r="F34" s="202"/>
      <c r="G34" s="202"/>
      <c r="H34" s="202"/>
      <c r="I34" s="202"/>
      <c r="J34" s="76"/>
    </row>
    <row r="35" spans="1:9" ht="23.25" customHeight="1">
      <c r="A35" s="32"/>
      <c r="B35" s="13"/>
      <c r="C35" s="10"/>
      <c r="D35" s="13"/>
      <c r="E35" s="17"/>
      <c r="F35" s="17"/>
      <c r="G35" s="17"/>
      <c r="H35" s="17"/>
      <c r="I35" s="17"/>
    </row>
  </sheetData>
  <sheetProtection/>
  <mergeCells count="8">
    <mergeCell ref="A1:H1"/>
    <mergeCell ref="C6:C7"/>
    <mergeCell ref="D6:D7"/>
    <mergeCell ref="E6:I6"/>
    <mergeCell ref="A4:I4"/>
    <mergeCell ref="A5:I5"/>
    <mergeCell ref="A2:I2"/>
    <mergeCell ref="A3:I3"/>
  </mergeCells>
  <printOptions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26" sqref="B26"/>
    </sheetView>
  </sheetViews>
  <sheetFormatPr defaultColWidth="9.140625" defaultRowHeight="12.75"/>
  <cols>
    <col min="1" max="1" width="10.00390625" style="295" customWidth="1"/>
    <col min="2" max="2" width="4.28125" style="53" customWidth="1"/>
    <col min="3" max="3" width="13.00390625" style="53" customWidth="1"/>
    <col min="4" max="4" width="46.421875" style="53" customWidth="1"/>
    <col min="5" max="9" width="14.28125" style="53" customWidth="1"/>
    <col min="10" max="16384" width="9.140625" style="53" customWidth="1"/>
  </cols>
  <sheetData>
    <row r="1" spans="1:9" s="1" customFormat="1" ht="29.25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</row>
    <row r="2" spans="1:14" s="1" customFormat="1" ht="23.25">
      <c r="A2" s="366" t="s">
        <v>82</v>
      </c>
      <c r="B2" s="366"/>
      <c r="C2" s="366"/>
      <c r="D2" s="366"/>
      <c r="E2" s="366"/>
      <c r="F2" s="366"/>
      <c r="G2" s="366"/>
      <c r="H2" s="366"/>
      <c r="I2" s="366"/>
      <c r="J2" s="296"/>
      <c r="K2" s="296"/>
      <c r="L2" s="296"/>
      <c r="M2" s="296"/>
      <c r="N2" s="296"/>
    </row>
    <row r="3" spans="1:14" s="1" customFormat="1" ht="23.25">
      <c r="A3" s="367" t="s">
        <v>320</v>
      </c>
      <c r="B3" s="367"/>
      <c r="C3" s="367"/>
      <c r="D3" s="367"/>
      <c r="E3" s="367"/>
      <c r="F3" s="367"/>
      <c r="G3" s="367"/>
      <c r="H3" s="367"/>
      <c r="I3" s="367"/>
      <c r="J3" s="297"/>
      <c r="K3" s="297"/>
      <c r="L3" s="297"/>
      <c r="M3" s="297"/>
      <c r="N3" s="297"/>
    </row>
    <row r="4" spans="1:14" s="1" customFormat="1" ht="23.25">
      <c r="A4" s="368" t="s">
        <v>262</v>
      </c>
      <c r="B4" s="368"/>
      <c r="C4" s="368"/>
      <c r="D4" s="368"/>
      <c r="E4" s="368"/>
      <c r="F4" s="368"/>
      <c r="G4" s="368"/>
      <c r="H4" s="368"/>
      <c r="I4" s="368"/>
      <c r="J4" s="296"/>
      <c r="K4" s="296"/>
      <c r="L4" s="296"/>
      <c r="M4" s="296"/>
      <c r="N4" s="296"/>
    </row>
    <row r="5" spans="1:14" s="1" customFormat="1" ht="23.25">
      <c r="A5" s="369" t="s">
        <v>210</v>
      </c>
      <c r="B5" s="369"/>
      <c r="C5" s="369"/>
      <c r="D5" s="369"/>
      <c r="E5" s="369"/>
      <c r="F5" s="369"/>
      <c r="G5" s="369"/>
      <c r="H5" s="369"/>
      <c r="I5" s="369"/>
      <c r="J5" s="297"/>
      <c r="K5" s="297"/>
      <c r="L5" s="297"/>
      <c r="M5" s="297"/>
      <c r="N5" s="297"/>
    </row>
    <row r="6" spans="1:9" s="1" customFormat="1" ht="23.25">
      <c r="A6" s="7" t="s">
        <v>0</v>
      </c>
      <c r="B6" s="4"/>
      <c r="C6" s="370" t="s">
        <v>3</v>
      </c>
      <c r="D6" s="370" t="s">
        <v>4</v>
      </c>
      <c r="E6" s="371" t="s">
        <v>10</v>
      </c>
      <c r="F6" s="372"/>
      <c r="G6" s="372"/>
      <c r="H6" s="372"/>
      <c r="I6" s="373"/>
    </row>
    <row r="7" spans="1:9" s="1" customFormat="1" ht="23.25">
      <c r="A7" s="4" t="s">
        <v>1</v>
      </c>
      <c r="B7" s="4" t="s">
        <v>2</v>
      </c>
      <c r="C7" s="370"/>
      <c r="D7" s="370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</row>
    <row r="8" spans="1:9" s="1" customFormat="1" ht="23.25">
      <c r="A8" s="27" t="s">
        <v>25</v>
      </c>
      <c r="B8" s="27">
        <v>2</v>
      </c>
      <c r="C8" s="26" t="s">
        <v>211</v>
      </c>
      <c r="D8" s="26" t="s">
        <v>213</v>
      </c>
      <c r="E8" s="19">
        <v>27320</v>
      </c>
      <c r="F8" s="19"/>
      <c r="G8" s="19"/>
      <c r="H8" s="19"/>
      <c r="I8" s="19">
        <f>E8</f>
        <v>27320</v>
      </c>
    </row>
    <row r="9" spans="1:9" s="1" customFormat="1" ht="23.25" customHeight="1">
      <c r="A9" s="12"/>
      <c r="B9" s="12"/>
      <c r="C9" s="6" t="s">
        <v>212</v>
      </c>
      <c r="D9" s="20" t="s">
        <v>214</v>
      </c>
      <c r="E9" s="16"/>
      <c r="F9" s="16"/>
      <c r="G9" s="16"/>
      <c r="H9" s="16"/>
      <c r="I9" s="16"/>
    </row>
    <row r="10" spans="1:9" s="1" customFormat="1" ht="23.25">
      <c r="A10" s="12"/>
      <c r="B10" s="12"/>
      <c r="C10" s="97"/>
      <c r="D10" s="20" t="s">
        <v>215</v>
      </c>
      <c r="E10" s="16"/>
      <c r="F10" s="16"/>
      <c r="G10" s="16"/>
      <c r="H10" s="16"/>
      <c r="I10" s="16"/>
    </row>
    <row r="11" spans="1:9" s="1" customFormat="1" ht="23.25">
      <c r="A11" s="12"/>
      <c r="B11" s="12">
        <v>21</v>
      </c>
      <c r="C11" s="97" t="s">
        <v>236</v>
      </c>
      <c r="D11" s="20" t="s">
        <v>237</v>
      </c>
      <c r="E11" s="16"/>
      <c r="F11" s="16"/>
      <c r="G11" s="16"/>
      <c r="H11" s="16">
        <v>27320</v>
      </c>
      <c r="I11" s="16">
        <f>I8-H11</f>
        <v>0</v>
      </c>
    </row>
    <row r="12" spans="1:9" s="1" customFormat="1" ht="23.25">
      <c r="A12" s="12"/>
      <c r="B12" s="12"/>
      <c r="C12" s="97"/>
      <c r="D12" s="6"/>
      <c r="E12" s="16"/>
      <c r="F12" s="16"/>
      <c r="G12" s="16"/>
      <c r="H12" s="16"/>
      <c r="I12" s="16"/>
    </row>
    <row r="13" spans="1:9" s="1" customFormat="1" ht="24" thickBot="1">
      <c r="A13" s="12"/>
      <c r="B13" s="12"/>
      <c r="C13" s="6"/>
      <c r="D13" s="12" t="s">
        <v>21</v>
      </c>
      <c r="E13" s="38">
        <f>SUM(E7:E9)</f>
        <v>27320</v>
      </c>
      <c r="F13" s="38">
        <f>SUM(F7:F9)</f>
        <v>0</v>
      </c>
      <c r="G13" s="38">
        <f>SUM(G7:G9)</f>
        <v>0</v>
      </c>
      <c r="H13" s="38">
        <f>SUM(H10:H12)</f>
        <v>27320</v>
      </c>
      <c r="I13" s="38">
        <f>E13-H13</f>
        <v>0</v>
      </c>
    </row>
    <row r="14" spans="1:9" s="1" customFormat="1" ht="24.75" thickBot="1" thickTop="1">
      <c r="A14" s="22"/>
      <c r="B14" s="12"/>
      <c r="C14" s="6"/>
      <c r="D14" s="12" t="s">
        <v>19</v>
      </c>
      <c r="E14" s="39">
        <f>E13</f>
        <v>27320</v>
      </c>
      <c r="F14" s="39">
        <f>F13</f>
        <v>0</v>
      </c>
      <c r="G14" s="39">
        <f>G13</f>
        <v>0</v>
      </c>
      <c r="H14" s="39">
        <f>H13</f>
        <v>27320</v>
      </c>
      <c r="I14" s="39">
        <f>I13</f>
        <v>0</v>
      </c>
    </row>
    <row r="15" spans="1:9" ht="24" thickTop="1">
      <c r="A15" s="74"/>
      <c r="B15" s="72"/>
      <c r="C15" s="73"/>
      <c r="D15" s="72"/>
      <c r="E15" s="75"/>
      <c r="F15" s="75"/>
      <c r="G15" s="75"/>
      <c r="H15" s="75"/>
      <c r="I15" s="75"/>
    </row>
    <row r="16" spans="1:9" s="1" customFormat="1" ht="23.25">
      <c r="A16" s="22"/>
      <c r="B16" s="12"/>
      <c r="C16" s="6"/>
      <c r="D16" s="22" t="s">
        <v>20</v>
      </c>
      <c r="E16" s="16"/>
      <c r="F16" s="16"/>
      <c r="G16" s="16"/>
      <c r="H16" s="16"/>
      <c r="I16" s="16">
        <f>I14</f>
        <v>0</v>
      </c>
    </row>
    <row r="17" spans="1:9" s="1" customFormat="1" ht="23.25">
      <c r="A17" s="22" t="s">
        <v>27</v>
      </c>
      <c r="B17" s="12">
        <v>23</v>
      </c>
      <c r="C17" s="26" t="s">
        <v>321</v>
      </c>
      <c r="D17" s="26" t="s">
        <v>213</v>
      </c>
      <c r="E17" s="19">
        <v>25440</v>
      </c>
      <c r="F17" s="19"/>
      <c r="G17" s="19"/>
      <c r="H17" s="19"/>
      <c r="I17" s="19">
        <f>E17</f>
        <v>25440</v>
      </c>
    </row>
    <row r="18" spans="1:9" s="1" customFormat="1" ht="23.25">
      <c r="A18" s="22"/>
      <c r="B18" s="12"/>
      <c r="C18" s="6" t="s">
        <v>322</v>
      </c>
      <c r="D18" s="20" t="s">
        <v>214</v>
      </c>
      <c r="E18" s="16"/>
      <c r="F18" s="16"/>
      <c r="G18" s="16"/>
      <c r="H18" s="16"/>
      <c r="I18" s="16"/>
    </row>
    <row r="19" spans="1:9" s="1" customFormat="1" ht="23.25">
      <c r="A19" s="22"/>
      <c r="B19" s="12"/>
      <c r="C19" s="97"/>
      <c r="D19" s="20" t="s">
        <v>215</v>
      </c>
      <c r="E19" s="16"/>
      <c r="F19" s="16"/>
      <c r="G19" s="16"/>
      <c r="H19" s="16"/>
      <c r="I19" s="16"/>
    </row>
    <row r="20" spans="1:9" s="1" customFormat="1" ht="24" thickBot="1">
      <c r="A20" s="12"/>
      <c r="B20" s="12"/>
      <c r="C20" s="6"/>
      <c r="D20" s="12" t="s">
        <v>21</v>
      </c>
      <c r="E20" s="38">
        <f>SUM(E17:E19)</f>
        <v>25440</v>
      </c>
      <c r="F20" s="38">
        <f>SUM(F14:F16)</f>
        <v>0</v>
      </c>
      <c r="G20" s="38">
        <f>SUM(G14:G16)</f>
        <v>0</v>
      </c>
      <c r="H20" s="38">
        <f>SUM(H17:H19)</f>
        <v>0</v>
      </c>
      <c r="I20" s="38">
        <f>E20-H20</f>
        <v>25440</v>
      </c>
    </row>
    <row r="21" spans="1:9" s="1" customFormat="1" ht="24.75" thickBot="1" thickTop="1">
      <c r="A21" s="32"/>
      <c r="B21" s="13"/>
      <c r="C21" s="10"/>
      <c r="D21" s="13" t="s">
        <v>19</v>
      </c>
      <c r="E21" s="39">
        <f>E14+E20</f>
        <v>52760</v>
      </c>
      <c r="F21" s="39">
        <f>F14+F20</f>
        <v>0</v>
      </c>
      <c r="G21" s="39">
        <f>G14+G20</f>
        <v>0</v>
      </c>
      <c r="H21" s="39">
        <f>H14+H20</f>
        <v>27320</v>
      </c>
      <c r="I21" s="39">
        <f>I20</f>
        <v>25440</v>
      </c>
    </row>
    <row r="22" spans="1:9" s="1" customFormat="1" ht="24" thickTop="1">
      <c r="A22" s="23"/>
      <c r="B22" s="14"/>
      <c r="C22" s="106"/>
      <c r="D22" s="14" t="s">
        <v>20</v>
      </c>
      <c r="E22" s="18"/>
      <c r="F22" s="18"/>
      <c r="G22" s="18"/>
      <c r="H22" s="18"/>
      <c r="I22" s="18">
        <f>I21</f>
        <v>25440</v>
      </c>
    </row>
    <row r="23" spans="1:9" s="1" customFormat="1" ht="23.25">
      <c r="A23" s="22" t="s">
        <v>28</v>
      </c>
      <c r="B23" s="12">
        <v>16</v>
      </c>
      <c r="C23" s="20" t="s">
        <v>351</v>
      </c>
      <c r="D23" s="6" t="s">
        <v>352</v>
      </c>
      <c r="E23" s="16"/>
      <c r="F23" s="16"/>
      <c r="G23" s="16"/>
      <c r="H23" s="16">
        <v>25440</v>
      </c>
      <c r="I23" s="16">
        <f>I20-H23</f>
        <v>0</v>
      </c>
    </row>
    <row r="24" spans="1:9" s="1" customFormat="1" ht="23.25">
      <c r="A24" s="22"/>
      <c r="B24" s="12"/>
      <c r="C24" s="20"/>
      <c r="D24" s="6"/>
      <c r="E24" s="16"/>
      <c r="F24" s="16"/>
      <c r="G24" s="16"/>
      <c r="H24" s="16"/>
      <c r="I24" s="16"/>
    </row>
    <row r="25" spans="1:9" s="1" customFormat="1" ht="24" thickBot="1">
      <c r="A25" s="12"/>
      <c r="B25" s="12"/>
      <c r="C25" s="6"/>
      <c r="D25" s="12" t="s">
        <v>21</v>
      </c>
      <c r="E25" s="38">
        <f>SUM(E22:E24)</f>
        <v>0</v>
      </c>
      <c r="F25" s="38">
        <f>SUM(F19:F21)</f>
        <v>0</v>
      </c>
      <c r="G25" s="38">
        <f>SUM(G19:G21)</f>
        <v>0</v>
      </c>
      <c r="H25" s="38">
        <f>SUM(H22:H24)</f>
        <v>25440</v>
      </c>
      <c r="I25" s="38">
        <f>I23</f>
        <v>0</v>
      </c>
    </row>
    <row r="26" spans="1:9" s="1" customFormat="1" ht="24.75" thickBot="1" thickTop="1">
      <c r="A26" s="22"/>
      <c r="B26" s="12"/>
      <c r="C26" s="6"/>
      <c r="D26" s="12" t="s">
        <v>19</v>
      </c>
      <c r="E26" s="39">
        <f>E21+E25</f>
        <v>52760</v>
      </c>
      <c r="F26" s="39">
        <f>F21+F25</f>
        <v>0</v>
      </c>
      <c r="G26" s="39">
        <f>G21+G25</f>
        <v>0</v>
      </c>
      <c r="H26" s="39">
        <f>H21+H25</f>
        <v>52760</v>
      </c>
      <c r="I26" s="39">
        <f>I25</f>
        <v>0</v>
      </c>
    </row>
    <row r="27" spans="1:9" s="1" customFormat="1" ht="24" thickTop="1">
      <c r="A27" s="23"/>
      <c r="B27" s="14"/>
      <c r="C27" s="106"/>
      <c r="D27" s="9"/>
      <c r="E27" s="16"/>
      <c r="F27" s="16"/>
      <c r="G27" s="16"/>
      <c r="H27" s="16"/>
      <c r="I27" s="16"/>
    </row>
    <row r="28" spans="1:9" s="1" customFormat="1" ht="23.25">
      <c r="A28" s="22"/>
      <c r="B28" s="12"/>
      <c r="C28" s="20"/>
      <c r="D28" s="6"/>
      <c r="E28" s="16"/>
      <c r="F28" s="16"/>
      <c r="G28" s="16"/>
      <c r="H28" s="16"/>
      <c r="I28" s="16"/>
    </row>
    <row r="29" spans="1:9" s="1" customFormat="1" ht="23.25">
      <c r="A29" s="22"/>
      <c r="B29" s="12"/>
      <c r="C29" s="20"/>
      <c r="D29" s="6"/>
      <c r="E29" s="16"/>
      <c r="F29" s="16"/>
      <c r="G29" s="16"/>
      <c r="H29" s="16"/>
      <c r="I29" s="16"/>
    </row>
    <row r="30" spans="1:9" s="1" customFormat="1" ht="23.25">
      <c r="A30" s="22"/>
      <c r="B30" s="12"/>
      <c r="C30" s="20"/>
      <c r="D30" s="6"/>
      <c r="E30" s="16"/>
      <c r="F30" s="16"/>
      <c r="G30" s="16"/>
      <c r="H30" s="16"/>
      <c r="I30" s="16"/>
    </row>
    <row r="31" spans="1:9" s="1" customFormat="1" ht="23.25">
      <c r="A31" s="22"/>
      <c r="B31" s="12"/>
      <c r="C31" s="20"/>
      <c r="D31" s="6"/>
      <c r="E31" s="16"/>
      <c r="F31" s="16"/>
      <c r="G31" s="16"/>
      <c r="H31" s="16"/>
      <c r="I31" s="16"/>
    </row>
    <row r="32" spans="1:9" s="1" customFormat="1" ht="23.25">
      <c r="A32" s="22"/>
      <c r="B32" s="12"/>
      <c r="C32" s="6"/>
      <c r="D32" s="20"/>
      <c r="E32" s="16"/>
      <c r="F32" s="16"/>
      <c r="G32" s="16"/>
      <c r="H32" s="16"/>
      <c r="I32" s="16"/>
    </row>
    <row r="33" spans="1:9" s="1" customFormat="1" ht="23.25">
      <c r="A33" s="22"/>
      <c r="B33" s="12"/>
      <c r="C33" s="97"/>
      <c r="D33" s="6"/>
      <c r="E33" s="16"/>
      <c r="F33" s="16"/>
      <c r="G33" s="16"/>
      <c r="H33" s="16"/>
      <c r="I33" s="16"/>
    </row>
    <row r="34" spans="1:9" s="1" customFormat="1" ht="23.25">
      <c r="A34" s="12"/>
      <c r="B34" s="12"/>
      <c r="C34" s="6"/>
      <c r="D34" s="12"/>
      <c r="E34" s="16"/>
      <c r="F34" s="16"/>
      <c r="G34" s="16"/>
      <c r="H34" s="16"/>
      <c r="I34" s="16"/>
    </row>
    <row r="35" spans="1:9" s="1" customFormat="1" ht="23.25">
      <c r="A35" s="32"/>
      <c r="B35" s="13"/>
      <c r="C35" s="10"/>
      <c r="D35" s="13"/>
      <c r="E35" s="17"/>
      <c r="F35" s="17"/>
      <c r="G35" s="17"/>
      <c r="H35" s="17"/>
      <c r="I35" s="17"/>
    </row>
  </sheetData>
  <sheetProtection/>
  <mergeCells count="8">
    <mergeCell ref="A1:H1"/>
    <mergeCell ref="A2:I2"/>
    <mergeCell ref="A3:I3"/>
    <mergeCell ref="A4:I4"/>
    <mergeCell ref="A5:I5"/>
    <mergeCell ref="C6:C7"/>
    <mergeCell ref="D6:D7"/>
    <mergeCell ref="E6:I6"/>
  </mergeCells>
  <printOptions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  <headerFooter alignWithMargins="0">
    <oddFooter>&amp;C&amp;"AngsanaUPC,ตัวปกติ"&amp;14หน้า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9">
      <selection activeCell="D22" sqref="D22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28125" style="1" customWidth="1"/>
    <col min="5" max="7" width="14.28125" style="1" customWidth="1"/>
    <col min="8" max="8" width="14.28125" style="47" customWidth="1"/>
    <col min="9" max="9" width="14.28125" style="1" customWidth="1"/>
    <col min="10" max="16384" width="9.140625" style="1" customWidth="1"/>
  </cols>
  <sheetData>
    <row r="1" spans="1:9" s="2" customFormat="1" ht="29.25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</row>
    <row r="2" spans="1:14" ht="23.25">
      <c r="A2" s="374" t="s">
        <v>318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ht="23.25">
      <c r="A3" s="375" t="s">
        <v>309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68" t="s">
        <v>310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76" t="s">
        <v>319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9" s="3" customFormat="1" ht="23.25">
      <c r="A6" s="7" t="s">
        <v>0</v>
      </c>
      <c r="B6" s="4"/>
      <c r="C6" s="378" t="s">
        <v>3</v>
      </c>
      <c r="D6" s="378" t="s">
        <v>4</v>
      </c>
      <c r="E6" s="371" t="s">
        <v>10</v>
      </c>
      <c r="F6" s="372"/>
      <c r="G6" s="372"/>
      <c r="H6" s="372"/>
      <c r="I6" s="373"/>
    </row>
    <row r="7" spans="1:9" s="3" customFormat="1" ht="23.25">
      <c r="A7" s="4" t="s">
        <v>1</v>
      </c>
      <c r="B7" s="4" t="s">
        <v>2</v>
      </c>
      <c r="C7" s="379"/>
      <c r="D7" s="379"/>
      <c r="E7" s="4" t="s">
        <v>5</v>
      </c>
      <c r="F7" s="4" t="s">
        <v>6</v>
      </c>
      <c r="G7" s="4" t="s">
        <v>7</v>
      </c>
      <c r="H7" s="48" t="s">
        <v>8</v>
      </c>
      <c r="I7" s="4" t="s">
        <v>9</v>
      </c>
    </row>
    <row r="8" spans="1:9" ht="23.25">
      <c r="A8" s="126" t="s">
        <v>25</v>
      </c>
      <c r="B8" s="126">
        <v>21</v>
      </c>
      <c r="C8" s="110" t="s">
        <v>311</v>
      </c>
      <c r="D8" s="110" t="s">
        <v>312</v>
      </c>
      <c r="E8" s="41">
        <v>999000</v>
      </c>
      <c r="F8" s="40"/>
      <c r="G8" s="40"/>
      <c r="H8" s="112"/>
      <c r="I8" s="332">
        <f>E8</f>
        <v>999000</v>
      </c>
    </row>
    <row r="9" spans="1:9" ht="23.25">
      <c r="A9" s="6"/>
      <c r="B9" s="6"/>
      <c r="C9" s="6" t="s">
        <v>239</v>
      </c>
      <c r="D9" s="20" t="s">
        <v>313</v>
      </c>
      <c r="E9" s="16"/>
      <c r="F9" s="6"/>
      <c r="G9" s="6"/>
      <c r="H9" s="46"/>
      <c r="I9" s="31"/>
    </row>
    <row r="10" spans="1:9" ht="23.25">
      <c r="A10" s="6"/>
      <c r="B10" s="6"/>
      <c r="C10" s="6"/>
      <c r="D10" s="20" t="s">
        <v>314</v>
      </c>
      <c r="E10" s="16"/>
      <c r="F10" s="6"/>
      <c r="G10" s="6"/>
      <c r="H10" s="46"/>
      <c r="I10" s="31"/>
    </row>
    <row r="11" spans="1:9" ht="23.25">
      <c r="A11" s="6"/>
      <c r="B11" s="6"/>
      <c r="C11" s="6"/>
      <c r="D11" s="20" t="s">
        <v>70</v>
      </c>
      <c r="E11" s="16">
        <v>1598000</v>
      </c>
      <c r="F11" s="6"/>
      <c r="G11" s="6"/>
      <c r="H11" s="46"/>
      <c r="I11" s="31">
        <f>I8+E11-H11</f>
        <v>2597000</v>
      </c>
    </row>
    <row r="12" spans="1:9" ht="23.25">
      <c r="A12" s="6"/>
      <c r="B12" s="6"/>
      <c r="C12" s="6"/>
      <c r="D12" s="20" t="s">
        <v>315</v>
      </c>
      <c r="E12" s="16"/>
      <c r="F12" s="6"/>
      <c r="G12" s="6"/>
      <c r="H12" s="46"/>
      <c r="I12" s="31"/>
    </row>
    <row r="13" spans="1:9" ht="23.25">
      <c r="A13" s="6"/>
      <c r="B13" s="6"/>
      <c r="C13" s="6"/>
      <c r="D13" s="20" t="s">
        <v>316</v>
      </c>
      <c r="E13" s="16">
        <v>3500000</v>
      </c>
      <c r="F13" s="6"/>
      <c r="G13" s="6"/>
      <c r="H13" s="46"/>
      <c r="I13" s="31">
        <f>I11+E13-H13</f>
        <v>6097000</v>
      </c>
    </row>
    <row r="14" spans="1:9" ht="23.25">
      <c r="A14" s="6"/>
      <c r="B14" s="6"/>
      <c r="C14" s="6"/>
      <c r="D14" s="20" t="s">
        <v>317</v>
      </c>
      <c r="E14" s="16"/>
      <c r="F14" s="6"/>
      <c r="G14" s="6"/>
      <c r="H14" s="46"/>
      <c r="I14" s="31"/>
    </row>
    <row r="15" spans="1:9" ht="23.25">
      <c r="A15" s="6"/>
      <c r="B15" s="6"/>
      <c r="C15" s="6"/>
      <c r="D15" s="6"/>
      <c r="E15" s="6"/>
      <c r="F15" s="6"/>
      <c r="G15" s="6"/>
      <c r="H15" s="46"/>
      <c r="I15" s="6"/>
    </row>
    <row r="16" spans="1:10" ht="23.25" customHeight="1" thickBot="1">
      <c r="A16" s="12"/>
      <c r="B16" s="12"/>
      <c r="C16" s="6"/>
      <c r="D16" s="12" t="s">
        <v>18</v>
      </c>
      <c r="E16" s="38">
        <f>SUM(E8:E15)</f>
        <v>6097000</v>
      </c>
      <c r="F16" s="38">
        <f>SUM(F8:F15)</f>
        <v>0</v>
      </c>
      <c r="G16" s="38">
        <f>SUM(G8:G15)</f>
        <v>0</v>
      </c>
      <c r="H16" s="49">
        <f>SUM(H8:H15)</f>
        <v>0</v>
      </c>
      <c r="I16" s="38">
        <f>I13</f>
        <v>6097000</v>
      </c>
      <c r="J16" s="25"/>
    </row>
    <row r="17" spans="1:10" ht="23.25" customHeight="1" thickBot="1" thickTop="1">
      <c r="A17" s="12"/>
      <c r="B17" s="12"/>
      <c r="C17" s="6"/>
      <c r="D17" s="12" t="s">
        <v>19</v>
      </c>
      <c r="E17" s="39">
        <f>E16</f>
        <v>6097000</v>
      </c>
      <c r="F17" s="39">
        <f>F16</f>
        <v>0</v>
      </c>
      <c r="G17" s="39">
        <f>G16</f>
        <v>0</v>
      </c>
      <c r="H17" s="50">
        <f>H16</f>
        <v>0</v>
      </c>
      <c r="I17" s="39">
        <f>I16</f>
        <v>6097000</v>
      </c>
      <c r="J17" s="25"/>
    </row>
    <row r="18" spans="1:10" ht="23.25" customHeight="1" thickTop="1">
      <c r="A18" s="43"/>
      <c r="B18" s="43"/>
      <c r="C18" s="44"/>
      <c r="D18" s="43"/>
      <c r="E18" s="19"/>
      <c r="F18" s="19"/>
      <c r="G18" s="19"/>
      <c r="H18" s="51"/>
      <c r="I18" s="19"/>
      <c r="J18" s="25"/>
    </row>
    <row r="19" spans="1:10" ht="23.25" customHeight="1">
      <c r="A19" s="12"/>
      <c r="B19" s="12"/>
      <c r="C19" s="6"/>
      <c r="D19" s="12"/>
      <c r="E19" s="16"/>
      <c r="F19" s="16"/>
      <c r="G19" s="16"/>
      <c r="H19" s="105"/>
      <c r="I19" s="16"/>
      <c r="J19" s="25"/>
    </row>
    <row r="20" spans="1:10" ht="23.25" customHeight="1">
      <c r="A20" s="12"/>
      <c r="B20" s="12"/>
      <c r="C20" s="6"/>
      <c r="D20" s="12"/>
      <c r="E20" s="16"/>
      <c r="F20" s="16"/>
      <c r="G20" s="16"/>
      <c r="H20" s="105"/>
      <c r="I20" s="16"/>
      <c r="J20" s="25"/>
    </row>
    <row r="21" spans="1:10" ht="23.25" customHeight="1">
      <c r="A21" s="99"/>
      <c r="B21" s="99"/>
      <c r="C21" s="100"/>
      <c r="D21" s="99"/>
      <c r="E21" s="101"/>
      <c r="F21" s="101"/>
      <c r="G21" s="101"/>
      <c r="H21" s="330"/>
      <c r="I21" s="101"/>
      <c r="J21" s="25"/>
    </row>
    <row r="22" spans="1:10" ht="23.25" customHeight="1">
      <c r="A22" s="14"/>
      <c r="B22" s="14"/>
      <c r="C22" s="9"/>
      <c r="D22" s="14" t="s">
        <v>20</v>
      </c>
      <c r="E22" s="18"/>
      <c r="F22" s="18"/>
      <c r="G22" s="18"/>
      <c r="H22" s="108"/>
      <c r="I22" s="18">
        <f>I13</f>
        <v>6097000</v>
      </c>
      <c r="J22" s="25"/>
    </row>
    <row r="23" spans="1:10" ht="23.25" customHeight="1">
      <c r="A23" s="12" t="s">
        <v>28</v>
      </c>
      <c r="B23" s="12">
        <v>16</v>
      </c>
      <c r="C23" s="20" t="s">
        <v>355</v>
      </c>
      <c r="D23" s="20" t="s">
        <v>356</v>
      </c>
      <c r="E23" s="16"/>
      <c r="F23" s="6"/>
      <c r="G23" s="6"/>
      <c r="H23" s="105">
        <v>995000</v>
      </c>
      <c r="I23" s="331">
        <f>I22+E23-H23</f>
        <v>5102000</v>
      </c>
      <c r="J23" s="25"/>
    </row>
    <row r="24" spans="1:10" ht="23.25" customHeight="1">
      <c r="A24" s="6"/>
      <c r="B24" s="6"/>
      <c r="C24" s="6"/>
      <c r="D24" s="20" t="s">
        <v>357</v>
      </c>
      <c r="E24" s="16"/>
      <c r="F24" s="6"/>
      <c r="G24" s="6"/>
      <c r="H24" s="46"/>
      <c r="I24" s="31"/>
      <c r="J24" s="25"/>
    </row>
    <row r="25" spans="1:10" ht="23.25" customHeight="1">
      <c r="A25" s="12"/>
      <c r="B25" s="12"/>
      <c r="C25" s="6" t="s">
        <v>358</v>
      </c>
      <c r="D25" s="20" t="s">
        <v>359</v>
      </c>
      <c r="E25" s="16"/>
      <c r="F25" s="16"/>
      <c r="G25" s="16"/>
      <c r="H25" s="105">
        <v>1593000</v>
      </c>
      <c r="I25" s="331">
        <f>I23+E25-H25</f>
        <v>3509000</v>
      </c>
      <c r="J25" s="25"/>
    </row>
    <row r="26" spans="1:10" ht="23.25" customHeight="1">
      <c r="A26" s="12"/>
      <c r="B26" s="12"/>
      <c r="C26" s="6"/>
      <c r="D26" s="20" t="s">
        <v>360</v>
      </c>
      <c r="E26" s="16"/>
      <c r="F26" s="16"/>
      <c r="G26" s="16"/>
      <c r="H26" s="105"/>
      <c r="I26" s="16"/>
      <c r="J26" s="25"/>
    </row>
    <row r="27" spans="1:10" ht="23.25" customHeight="1">
      <c r="A27" s="12"/>
      <c r="B27" s="12"/>
      <c r="C27" s="6" t="s">
        <v>361</v>
      </c>
      <c r="D27" s="20" t="s">
        <v>362</v>
      </c>
      <c r="E27" s="16"/>
      <c r="F27" s="16"/>
      <c r="G27" s="16"/>
      <c r="H27" s="105">
        <v>3498000</v>
      </c>
      <c r="I27" s="331">
        <f>I25+E27-H27</f>
        <v>11000</v>
      </c>
      <c r="J27" s="25"/>
    </row>
    <row r="28" spans="1:9" ht="23.25" customHeight="1">
      <c r="A28" s="6"/>
      <c r="B28" s="6"/>
      <c r="C28" s="6"/>
      <c r="D28" s="20" t="s">
        <v>363</v>
      </c>
      <c r="E28" s="16"/>
      <c r="F28" s="6"/>
      <c r="G28" s="6"/>
      <c r="H28" s="46"/>
      <c r="I28" s="31"/>
    </row>
    <row r="29" spans="1:9" ht="23.25" customHeight="1">
      <c r="A29" s="6"/>
      <c r="B29" s="6"/>
      <c r="C29" s="6"/>
      <c r="D29" s="20" t="s">
        <v>364</v>
      </c>
      <c r="E29" s="16">
        <v>-11000</v>
      </c>
      <c r="F29" s="6"/>
      <c r="G29" s="6"/>
      <c r="H29" s="46"/>
      <c r="I29" s="331">
        <f>I27+E29-H29</f>
        <v>0</v>
      </c>
    </row>
    <row r="30" spans="1:9" ht="23.25" customHeight="1">
      <c r="A30" s="6"/>
      <c r="B30" s="6"/>
      <c r="C30" s="20"/>
      <c r="D30" s="21"/>
      <c r="E30" s="6"/>
      <c r="F30" s="6"/>
      <c r="G30" s="6"/>
      <c r="H30" s="105"/>
      <c r="I30" s="16"/>
    </row>
    <row r="31" spans="1:10" ht="23.25" customHeight="1" thickBot="1">
      <c r="A31" s="12"/>
      <c r="B31" s="12"/>
      <c r="C31" s="6"/>
      <c r="D31" s="12" t="s">
        <v>18</v>
      </c>
      <c r="E31" s="38">
        <f>SUM(E23:E29)</f>
        <v>-11000</v>
      </c>
      <c r="F31" s="38">
        <f>SUM(F23:F29)</f>
        <v>0</v>
      </c>
      <c r="G31" s="38">
        <f>SUM(G23:G29)</f>
        <v>0</v>
      </c>
      <c r="H31" s="38">
        <f>SUM(H23:H29)</f>
        <v>6086000</v>
      </c>
      <c r="I31" s="38">
        <f>I29</f>
        <v>0</v>
      </c>
      <c r="J31" s="25"/>
    </row>
    <row r="32" spans="1:10" ht="23.25" customHeight="1" thickBot="1" thickTop="1">
      <c r="A32" s="12"/>
      <c r="B32" s="12"/>
      <c r="C32" s="6"/>
      <c r="D32" s="12" t="s">
        <v>19</v>
      </c>
      <c r="E32" s="39">
        <f>E17+E31</f>
        <v>6086000</v>
      </c>
      <c r="F32" s="39">
        <f>F17-F31</f>
        <v>0</v>
      </c>
      <c r="G32" s="39">
        <f>G17-G31</f>
        <v>0</v>
      </c>
      <c r="H32" s="39">
        <f>H17+H31</f>
        <v>6086000</v>
      </c>
      <c r="I32" s="39">
        <f>E32-H32</f>
        <v>0</v>
      </c>
      <c r="J32" s="25"/>
    </row>
    <row r="33" spans="1:10" ht="23.25" customHeight="1" thickTop="1">
      <c r="A33" s="27"/>
      <c r="B33" s="27"/>
      <c r="C33" s="28"/>
      <c r="D33" s="27"/>
      <c r="E33" s="19"/>
      <c r="F33" s="19"/>
      <c r="G33" s="19"/>
      <c r="H33" s="51"/>
      <c r="I33" s="19"/>
      <c r="J33" s="25"/>
    </row>
    <row r="34" spans="1:10" ht="23.25" customHeight="1">
      <c r="A34" s="12"/>
      <c r="B34" s="12"/>
      <c r="C34" s="6"/>
      <c r="D34" s="12"/>
      <c r="E34" s="16"/>
      <c r="F34" s="16"/>
      <c r="G34" s="16"/>
      <c r="H34" s="105"/>
      <c r="I34" s="16"/>
      <c r="J34" s="25"/>
    </row>
    <row r="35" spans="1:10" ht="23.25" customHeight="1">
      <c r="A35" s="13"/>
      <c r="B35" s="13"/>
      <c r="C35" s="10"/>
      <c r="D35" s="13"/>
      <c r="E35" s="17"/>
      <c r="F35" s="17"/>
      <c r="G35" s="17"/>
      <c r="H35" s="52"/>
      <c r="I35" s="17"/>
      <c r="J35" s="25"/>
    </row>
  </sheetData>
  <sheetProtection/>
  <mergeCells count="8">
    <mergeCell ref="C6:C7"/>
    <mergeCell ref="D6:D7"/>
    <mergeCell ref="E6:I6"/>
    <mergeCell ref="A1:H1"/>
    <mergeCell ref="A3:I3"/>
    <mergeCell ref="A2:I2"/>
    <mergeCell ref="A4:I4"/>
    <mergeCell ref="A5:I5"/>
  </mergeCells>
  <printOptions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  <headerFooter alignWithMargins="0">
    <oddFooter>&amp;C&amp;"Angsana New,ธรรมดา"&amp;14หน้า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H19" sqref="H19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0" width="13.140625" style="25" customWidth="1"/>
    <col min="11" max="16384" width="9.140625" style="1" customWidth="1"/>
  </cols>
  <sheetData>
    <row r="1" spans="1:10" s="2" customFormat="1" ht="28.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66" t="s">
        <v>451</v>
      </c>
      <c r="B2" s="366"/>
      <c r="C2" s="366"/>
      <c r="D2" s="366"/>
      <c r="E2" s="366"/>
      <c r="F2" s="366"/>
      <c r="G2" s="366"/>
      <c r="H2" s="366"/>
      <c r="I2" s="366"/>
      <c r="J2" s="33"/>
      <c r="K2" s="33"/>
      <c r="L2" s="33"/>
      <c r="M2" s="33"/>
      <c r="N2" s="33"/>
    </row>
    <row r="3" spans="1:14" ht="23.25">
      <c r="A3" s="368" t="s">
        <v>262</v>
      </c>
      <c r="B3" s="368"/>
      <c r="C3" s="368"/>
      <c r="D3" s="368"/>
      <c r="E3" s="368"/>
      <c r="F3" s="368"/>
      <c r="G3" s="368"/>
      <c r="H3" s="368"/>
      <c r="I3" s="368"/>
      <c r="J3" s="33"/>
      <c r="K3" s="33"/>
      <c r="L3" s="33"/>
      <c r="M3" s="33"/>
      <c r="N3" s="33"/>
    </row>
    <row r="4" spans="1:14" ht="23.25">
      <c r="A4" s="369" t="s">
        <v>450</v>
      </c>
      <c r="B4" s="369"/>
      <c r="C4" s="369"/>
      <c r="D4" s="369"/>
      <c r="E4" s="369"/>
      <c r="F4" s="369"/>
      <c r="G4" s="369"/>
      <c r="H4" s="369"/>
      <c r="I4" s="369"/>
      <c r="J4" s="34"/>
      <c r="K4" s="34"/>
      <c r="L4" s="34"/>
      <c r="M4" s="34"/>
      <c r="N4" s="34"/>
    </row>
    <row r="5" spans="1:10" s="30" customFormat="1" ht="23.25" customHeight="1">
      <c r="A5" s="7" t="s">
        <v>0</v>
      </c>
      <c r="B5" s="4"/>
      <c r="C5" s="370" t="s">
        <v>3</v>
      </c>
      <c r="D5" s="370" t="s">
        <v>4</v>
      </c>
      <c r="E5" s="371" t="s">
        <v>10</v>
      </c>
      <c r="F5" s="372"/>
      <c r="G5" s="372"/>
      <c r="H5" s="372"/>
      <c r="I5" s="373"/>
      <c r="J5" s="29"/>
    </row>
    <row r="6" spans="1:10" s="30" customFormat="1" ht="23.25" customHeight="1">
      <c r="A6" s="4" t="s">
        <v>1</v>
      </c>
      <c r="B6" s="4" t="s">
        <v>2</v>
      </c>
      <c r="C6" s="370"/>
      <c r="D6" s="370"/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29"/>
    </row>
    <row r="7" spans="1:9" ht="23.25" customHeight="1">
      <c r="A7" s="27" t="s">
        <v>31</v>
      </c>
      <c r="B7" s="27">
        <v>30</v>
      </c>
      <c r="C7" s="26" t="s">
        <v>452</v>
      </c>
      <c r="D7" s="26" t="s">
        <v>44</v>
      </c>
      <c r="E7" s="19">
        <v>1477756.12</v>
      </c>
      <c r="F7" s="19"/>
      <c r="G7" s="19"/>
      <c r="H7" s="19"/>
      <c r="I7" s="19">
        <f>E7</f>
        <v>1477756.12</v>
      </c>
    </row>
    <row r="8" spans="1:9" ht="23.25" customHeight="1">
      <c r="A8" s="12"/>
      <c r="B8" s="12"/>
      <c r="C8" s="20" t="s">
        <v>453</v>
      </c>
      <c r="D8" s="6" t="s">
        <v>454</v>
      </c>
      <c r="E8" s="16"/>
      <c r="F8" s="16"/>
      <c r="G8" s="16"/>
      <c r="H8" s="16"/>
      <c r="I8" s="16"/>
    </row>
    <row r="9" spans="1:9" ht="23.25" customHeight="1">
      <c r="A9" s="12"/>
      <c r="B9" s="12"/>
      <c r="C9" s="20"/>
      <c r="D9" s="6" t="s">
        <v>455</v>
      </c>
      <c r="E9" s="16"/>
      <c r="F9" s="16"/>
      <c r="G9" s="16"/>
      <c r="H9" s="16">
        <v>1477756.12</v>
      </c>
      <c r="I9" s="16">
        <f>I7-H9</f>
        <v>0</v>
      </c>
    </row>
    <row r="10" spans="1:9" ht="23.25" customHeight="1">
      <c r="A10" s="12"/>
      <c r="B10" s="12"/>
      <c r="C10" s="6"/>
      <c r="D10" s="12"/>
      <c r="E10" s="16"/>
      <c r="F10" s="16"/>
      <c r="G10" s="16"/>
      <c r="H10" s="16"/>
      <c r="I10" s="16"/>
    </row>
    <row r="11" spans="1:9" ht="23.25" customHeight="1" thickBot="1">
      <c r="A11" s="12"/>
      <c r="B11" s="12"/>
      <c r="C11" s="6"/>
      <c r="D11" s="12" t="s">
        <v>18</v>
      </c>
      <c r="E11" s="38">
        <f>SUM(E7:E10)</f>
        <v>1477756.12</v>
      </c>
      <c r="F11" s="38">
        <f>SUM(F7:F10)</f>
        <v>0</v>
      </c>
      <c r="G11" s="38">
        <f>SUM(G7:G10)</f>
        <v>0</v>
      </c>
      <c r="H11" s="38">
        <f>SUM(H7:H10)</f>
        <v>1477756.12</v>
      </c>
      <c r="I11" s="38">
        <f>E11-H11</f>
        <v>0</v>
      </c>
    </row>
    <row r="12" spans="1:9" ht="23.25" customHeight="1" thickBot="1" thickTop="1">
      <c r="A12" s="12"/>
      <c r="B12" s="12"/>
      <c r="C12" s="6"/>
      <c r="D12" s="12" t="s">
        <v>19</v>
      </c>
      <c r="E12" s="39">
        <f>E11</f>
        <v>1477756.12</v>
      </c>
      <c r="F12" s="39">
        <f>F11</f>
        <v>0</v>
      </c>
      <c r="G12" s="39">
        <f>G11</f>
        <v>0</v>
      </c>
      <c r="H12" s="39">
        <f>H11</f>
        <v>1477756.12</v>
      </c>
      <c r="I12" s="39">
        <f>I11</f>
        <v>0</v>
      </c>
    </row>
    <row r="13" spans="1:9" ht="23.25" customHeight="1" thickTop="1">
      <c r="A13" s="22"/>
      <c r="B13" s="12"/>
      <c r="C13" s="6"/>
      <c r="D13" s="12"/>
      <c r="E13" s="16"/>
      <c r="F13" s="16"/>
      <c r="G13" s="16"/>
      <c r="H13" s="16"/>
      <c r="I13" s="16"/>
    </row>
    <row r="14" spans="1:10" s="53" customFormat="1" ht="23.25" customHeight="1">
      <c r="A14" s="22"/>
      <c r="B14" s="12"/>
      <c r="C14" s="6"/>
      <c r="D14" s="22"/>
      <c r="E14" s="16"/>
      <c r="F14" s="16"/>
      <c r="G14" s="16"/>
      <c r="H14" s="16"/>
      <c r="I14" s="16"/>
      <c r="J14" s="76"/>
    </row>
    <row r="15" spans="1:10" s="53" customFormat="1" ht="23.25" customHeight="1">
      <c r="A15" s="114"/>
      <c r="B15" s="12"/>
      <c r="C15" s="6"/>
      <c r="D15" s="22"/>
      <c r="E15" s="16"/>
      <c r="F15" s="16"/>
      <c r="G15" s="16"/>
      <c r="H15" s="16"/>
      <c r="I15" s="16"/>
      <c r="J15" s="76"/>
    </row>
    <row r="16" spans="1:10" s="53" customFormat="1" ht="23.25" customHeight="1">
      <c r="A16" s="27"/>
      <c r="B16" s="12"/>
      <c r="C16" s="20"/>
      <c r="D16" s="20"/>
      <c r="E16" s="16"/>
      <c r="F16" s="16"/>
      <c r="G16" s="16"/>
      <c r="H16" s="16"/>
      <c r="I16" s="16"/>
      <c r="J16" s="76"/>
    </row>
    <row r="17" spans="1:10" s="53" customFormat="1" ht="23.25" customHeight="1">
      <c r="A17" s="22"/>
      <c r="B17" s="12"/>
      <c r="C17" s="6"/>
      <c r="D17" s="104"/>
      <c r="E17" s="16"/>
      <c r="F17" s="16"/>
      <c r="G17" s="16"/>
      <c r="H17" s="16"/>
      <c r="I17" s="16"/>
      <c r="J17" s="76"/>
    </row>
    <row r="18" spans="1:10" s="53" customFormat="1" ht="23.25" customHeight="1">
      <c r="A18" s="22"/>
      <c r="B18" s="12"/>
      <c r="C18" s="6"/>
      <c r="D18" s="104"/>
      <c r="E18" s="16"/>
      <c r="F18" s="16"/>
      <c r="G18" s="16"/>
      <c r="H18" s="16"/>
      <c r="I18" s="16"/>
      <c r="J18" s="76"/>
    </row>
    <row r="19" spans="1:10" s="53" customFormat="1" ht="23.25" customHeight="1">
      <c r="A19" s="12"/>
      <c r="B19" s="12"/>
      <c r="C19" s="6"/>
      <c r="D19" s="12"/>
      <c r="E19" s="16"/>
      <c r="F19" s="16"/>
      <c r="G19" s="16"/>
      <c r="H19" s="16"/>
      <c r="I19" s="16"/>
      <c r="J19" s="76"/>
    </row>
    <row r="20" spans="1:10" s="53" customFormat="1" ht="23.25" customHeight="1">
      <c r="A20" s="12"/>
      <c r="B20" s="12"/>
      <c r="C20" s="6"/>
      <c r="D20" s="12"/>
      <c r="E20" s="16"/>
      <c r="F20" s="16"/>
      <c r="G20" s="16"/>
      <c r="H20" s="16"/>
      <c r="I20" s="16"/>
      <c r="J20" s="76"/>
    </row>
    <row r="21" spans="1:10" s="53" customFormat="1" ht="23.25" customHeight="1">
      <c r="A21" s="32"/>
      <c r="B21" s="13"/>
      <c r="C21" s="10"/>
      <c r="D21" s="13"/>
      <c r="E21" s="17"/>
      <c r="F21" s="17"/>
      <c r="G21" s="17"/>
      <c r="H21" s="17"/>
      <c r="I21" s="17"/>
      <c r="J21" s="76"/>
    </row>
  </sheetData>
  <sheetProtection/>
  <mergeCells count="7">
    <mergeCell ref="A1:H1"/>
    <mergeCell ref="A2:I2"/>
    <mergeCell ref="A3:I3"/>
    <mergeCell ref="A4:I4"/>
    <mergeCell ref="C5:C6"/>
    <mergeCell ref="D5:D6"/>
    <mergeCell ref="E5:I5"/>
  </mergeCells>
  <printOptions/>
  <pageMargins left="0.15748031496062992" right="0.15748031496062992" top="0.7874015748031497" bottom="0.5905511811023623" header="0.31496062992125984" footer="0.31496062992125984"/>
  <pageSetup horizontalDpi="180" verticalDpi="18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0" width="13.140625" style="25" customWidth="1"/>
    <col min="11" max="16384" width="9.140625" style="1" customWidth="1"/>
  </cols>
  <sheetData>
    <row r="1" spans="1:10" s="2" customFormat="1" ht="28.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66" t="s">
        <v>451</v>
      </c>
      <c r="B2" s="366"/>
      <c r="C2" s="366"/>
      <c r="D2" s="366"/>
      <c r="E2" s="366"/>
      <c r="F2" s="366"/>
      <c r="G2" s="366"/>
      <c r="H2" s="366"/>
      <c r="I2" s="366"/>
      <c r="J2" s="33"/>
      <c r="K2" s="33"/>
      <c r="L2" s="33"/>
      <c r="M2" s="33"/>
      <c r="N2" s="33"/>
    </row>
    <row r="3" spans="1:14" ht="23.25">
      <c r="A3" s="368" t="s">
        <v>262</v>
      </c>
      <c r="B3" s="368"/>
      <c r="C3" s="368"/>
      <c r="D3" s="368"/>
      <c r="E3" s="368"/>
      <c r="F3" s="368"/>
      <c r="G3" s="368"/>
      <c r="H3" s="368"/>
      <c r="I3" s="368"/>
      <c r="J3" s="33"/>
      <c r="K3" s="33"/>
      <c r="L3" s="33"/>
      <c r="M3" s="33"/>
      <c r="N3" s="33"/>
    </row>
    <row r="4" spans="1:14" ht="23.25">
      <c r="A4" s="369" t="s">
        <v>450</v>
      </c>
      <c r="B4" s="369"/>
      <c r="C4" s="369"/>
      <c r="D4" s="369"/>
      <c r="E4" s="369"/>
      <c r="F4" s="369"/>
      <c r="G4" s="369"/>
      <c r="H4" s="369"/>
      <c r="I4" s="369"/>
      <c r="J4" s="34"/>
      <c r="K4" s="34"/>
      <c r="L4" s="34"/>
      <c r="M4" s="34"/>
      <c r="N4" s="34"/>
    </row>
    <row r="5" spans="1:10" s="30" customFormat="1" ht="23.25" customHeight="1">
      <c r="A5" s="7" t="s">
        <v>0</v>
      </c>
      <c r="B5" s="4"/>
      <c r="C5" s="370" t="s">
        <v>3</v>
      </c>
      <c r="D5" s="370" t="s">
        <v>4</v>
      </c>
      <c r="E5" s="371" t="s">
        <v>10</v>
      </c>
      <c r="F5" s="372"/>
      <c r="G5" s="372"/>
      <c r="H5" s="372"/>
      <c r="I5" s="373"/>
      <c r="J5" s="29"/>
    </row>
    <row r="6" spans="1:10" s="30" customFormat="1" ht="23.25" customHeight="1">
      <c r="A6" s="4" t="s">
        <v>1</v>
      </c>
      <c r="B6" s="4" t="s">
        <v>2</v>
      </c>
      <c r="C6" s="370"/>
      <c r="D6" s="370"/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29"/>
    </row>
    <row r="7" spans="1:9" ht="23.25" customHeight="1">
      <c r="A7" s="27" t="s">
        <v>31</v>
      </c>
      <c r="B7" s="27">
        <v>30</v>
      </c>
      <c r="C7" s="26" t="s">
        <v>456</v>
      </c>
      <c r="D7" s="26" t="s">
        <v>457</v>
      </c>
      <c r="E7" s="19">
        <v>498791.85</v>
      </c>
      <c r="F7" s="19"/>
      <c r="G7" s="19"/>
      <c r="H7" s="19"/>
      <c r="I7" s="19">
        <f>E7</f>
        <v>498791.85</v>
      </c>
    </row>
    <row r="8" spans="1:9" ht="23.25" customHeight="1">
      <c r="A8" s="12"/>
      <c r="B8" s="12"/>
      <c r="C8" s="20" t="s">
        <v>453</v>
      </c>
      <c r="D8" s="6"/>
      <c r="E8" s="16"/>
      <c r="F8" s="16"/>
      <c r="G8" s="16"/>
      <c r="H8" s="16"/>
      <c r="I8" s="16"/>
    </row>
    <row r="9" spans="1:9" ht="23.25" customHeight="1">
      <c r="A9" s="12"/>
      <c r="B9" s="12"/>
      <c r="C9" s="20"/>
      <c r="D9" s="6" t="s">
        <v>458</v>
      </c>
      <c r="E9" s="16"/>
      <c r="F9" s="16"/>
      <c r="G9" s="16"/>
      <c r="H9" s="16">
        <v>498791.85</v>
      </c>
      <c r="I9" s="16">
        <f>I7-H9</f>
        <v>0</v>
      </c>
    </row>
    <row r="10" spans="1:9" ht="23.25" customHeight="1">
      <c r="A10" s="12"/>
      <c r="B10" s="12"/>
      <c r="C10" s="6"/>
      <c r="D10" s="12"/>
      <c r="E10" s="16"/>
      <c r="F10" s="16"/>
      <c r="G10" s="16"/>
      <c r="H10" s="16"/>
      <c r="I10" s="16"/>
    </row>
    <row r="11" spans="1:9" ht="23.25" customHeight="1" thickBot="1">
      <c r="A11" s="12"/>
      <c r="B11" s="12"/>
      <c r="C11" s="6"/>
      <c r="D11" s="12" t="s">
        <v>18</v>
      </c>
      <c r="E11" s="38">
        <f>SUM(E7:E10)</f>
        <v>498791.85</v>
      </c>
      <c r="F11" s="38">
        <f>SUM(F7:F10)</f>
        <v>0</v>
      </c>
      <c r="G11" s="38">
        <f>SUM(G7:G10)</f>
        <v>0</v>
      </c>
      <c r="H11" s="38">
        <f>SUM(H7:H10)</f>
        <v>498791.85</v>
      </c>
      <c r="I11" s="38">
        <f>E11-H11</f>
        <v>0</v>
      </c>
    </row>
    <row r="12" spans="1:9" ht="23.25" customHeight="1" thickBot="1" thickTop="1">
      <c r="A12" s="12"/>
      <c r="B12" s="12"/>
      <c r="C12" s="6"/>
      <c r="D12" s="12" t="s">
        <v>19</v>
      </c>
      <c r="E12" s="39">
        <f>E11</f>
        <v>498791.85</v>
      </c>
      <c r="F12" s="39">
        <f>F11</f>
        <v>0</v>
      </c>
      <c r="G12" s="39">
        <f>G11</f>
        <v>0</v>
      </c>
      <c r="H12" s="39">
        <f>H11</f>
        <v>498791.85</v>
      </c>
      <c r="I12" s="39">
        <f>I11</f>
        <v>0</v>
      </c>
    </row>
    <row r="13" spans="1:9" ht="23.25" customHeight="1" thickTop="1">
      <c r="A13" s="22"/>
      <c r="B13" s="12"/>
      <c r="C13" s="6"/>
      <c r="D13" s="12"/>
      <c r="E13" s="16"/>
      <c r="F13" s="16"/>
      <c r="G13" s="16"/>
      <c r="H13" s="16"/>
      <c r="I13" s="16"/>
    </row>
    <row r="14" spans="1:10" s="53" customFormat="1" ht="23.25" customHeight="1">
      <c r="A14" s="22"/>
      <c r="B14" s="12"/>
      <c r="C14" s="6"/>
      <c r="D14" s="22"/>
      <c r="E14" s="16"/>
      <c r="F14" s="16"/>
      <c r="G14" s="16"/>
      <c r="H14" s="16"/>
      <c r="I14" s="16"/>
      <c r="J14" s="76"/>
    </row>
    <row r="15" spans="1:10" s="53" customFormat="1" ht="23.25" customHeight="1">
      <c r="A15" s="114"/>
      <c r="B15" s="12"/>
      <c r="C15" s="6"/>
      <c r="D15" s="22"/>
      <c r="E15" s="16"/>
      <c r="F15" s="16"/>
      <c r="G15" s="16"/>
      <c r="H15" s="16"/>
      <c r="I15" s="16"/>
      <c r="J15" s="76"/>
    </row>
    <row r="16" spans="1:10" s="53" customFormat="1" ht="23.25" customHeight="1">
      <c r="A16" s="27"/>
      <c r="B16" s="12"/>
      <c r="C16" s="20"/>
      <c r="D16" s="20"/>
      <c r="E16" s="16"/>
      <c r="F16" s="16"/>
      <c r="G16" s="16"/>
      <c r="H16" s="16"/>
      <c r="I16" s="16"/>
      <c r="J16" s="76"/>
    </row>
    <row r="17" spans="1:10" s="53" customFormat="1" ht="23.25" customHeight="1">
      <c r="A17" s="22"/>
      <c r="B17" s="12"/>
      <c r="C17" s="6"/>
      <c r="D17" s="104"/>
      <c r="E17" s="16"/>
      <c r="F17" s="16"/>
      <c r="G17" s="16"/>
      <c r="H17" s="16"/>
      <c r="I17" s="16"/>
      <c r="J17" s="76"/>
    </row>
    <row r="18" spans="1:10" s="53" customFormat="1" ht="23.25" customHeight="1">
      <c r="A18" s="22"/>
      <c r="B18" s="12"/>
      <c r="C18" s="6"/>
      <c r="D18" s="104"/>
      <c r="E18" s="16"/>
      <c r="F18" s="16"/>
      <c r="G18" s="16"/>
      <c r="H18" s="16"/>
      <c r="I18" s="16"/>
      <c r="J18" s="76"/>
    </row>
    <row r="19" spans="1:10" s="53" customFormat="1" ht="23.25" customHeight="1">
      <c r="A19" s="12"/>
      <c r="B19" s="12"/>
      <c r="C19" s="6"/>
      <c r="D19" s="12"/>
      <c r="E19" s="16"/>
      <c r="F19" s="16"/>
      <c r="G19" s="16"/>
      <c r="H19" s="16"/>
      <c r="I19" s="16"/>
      <c r="J19" s="76"/>
    </row>
    <row r="20" spans="1:10" s="53" customFormat="1" ht="23.25" customHeight="1">
      <c r="A20" s="12"/>
      <c r="B20" s="12"/>
      <c r="C20" s="6"/>
      <c r="D20" s="12"/>
      <c r="E20" s="16"/>
      <c r="F20" s="16"/>
      <c r="G20" s="16"/>
      <c r="H20" s="16"/>
      <c r="I20" s="16"/>
      <c r="J20" s="76"/>
    </row>
    <row r="21" spans="1:10" s="53" customFormat="1" ht="23.25" customHeight="1">
      <c r="A21" s="32"/>
      <c r="B21" s="13"/>
      <c r="C21" s="10"/>
      <c r="D21" s="13"/>
      <c r="E21" s="17"/>
      <c r="F21" s="17"/>
      <c r="G21" s="17"/>
      <c r="H21" s="17"/>
      <c r="I21" s="17"/>
      <c r="J21" s="76"/>
    </row>
  </sheetData>
  <sheetProtection/>
  <mergeCells count="7">
    <mergeCell ref="A1:H1"/>
    <mergeCell ref="A2:I2"/>
    <mergeCell ref="A3:I3"/>
    <mergeCell ref="A4:I4"/>
    <mergeCell ref="C5:C6"/>
    <mergeCell ref="D5:D6"/>
    <mergeCell ref="E5:I5"/>
  </mergeCells>
  <printOptions/>
  <pageMargins left="0.15748031496062992" right="0.15748031496062992" top="0.7874015748031497" bottom="0.5905511811023623" header="0.31496062992125984" footer="0.31496062992125984"/>
  <pageSetup horizontalDpi="180" verticalDpi="18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28125" style="1" customWidth="1"/>
    <col min="5" max="7" width="14.28125" style="1" customWidth="1"/>
    <col min="8" max="8" width="14.28125" style="47" customWidth="1"/>
    <col min="9" max="9" width="14.28125" style="1" customWidth="1"/>
    <col min="10" max="16384" width="9.140625" style="1" customWidth="1"/>
  </cols>
  <sheetData>
    <row r="1" spans="1:9" s="2" customFormat="1" ht="29.25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</row>
    <row r="2" spans="1:14" ht="23.25">
      <c r="A2" s="374" t="s">
        <v>68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ht="23.25">
      <c r="A3" s="375" t="s">
        <v>74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68" t="s">
        <v>69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76" t="s">
        <v>77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9" s="3" customFormat="1" ht="23.25">
      <c r="A6" s="7" t="s">
        <v>0</v>
      </c>
      <c r="B6" s="4"/>
      <c r="C6" s="378" t="s">
        <v>3</v>
      </c>
      <c r="D6" s="378" t="s">
        <v>4</v>
      </c>
      <c r="E6" s="371" t="s">
        <v>10</v>
      </c>
      <c r="F6" s="372"/>
      <c r="G6" s="372"/>
      <c r="H6" s="372"/>
      <c r="I6" s="373"/>
    </row>
    <row r="7" spans="1:9" s="3" customFormat="1" ht="23.25">
      <c r="A7" s="4" t="s">
        <v>1</v>
      </c>
      <c r="B7" s="4" t="s">
        <v>2</v>
      </c>
      <c r="C7" s="379"/>
      <c r="D7" s="379"/>
      <c r="E7" s="4" t="s">
        <v>5</v>
      </c>
      <c r="F7" s="4" t="s">
        <v>6</v>
      </c>
      <c r="G7" s="4" t="s">
        <v>7</v>
      </c>
      <c r="H7" s="48" t="s">
        <v>8</v>
      </c>
      <c r="I7" s="4" t="s">
        <v>9</v>
      </c>
    </row>
    <row r="8" spans="1:9" ht="23.25">
      <c r="A8" s="11" t="s">
        <v>27</v>
      </c>
      <c r="B8" s="11">
        <v>12</v>
      </c>
      <c r="C8" s="15" t="s">
        <v>72</v>
      </c>
      <c r="D8" s="15" t="s">
        <v>75</v>
      </c>
      <c r="E8" s="36">
        <v>1132000</v>
      </c>
      <c r="F8" s="5"/>
      <c r="G8" s="5"/>
      <c r="H8" s="45"/>
      <c r="I8" s="37">
        <f>E8</f>
        <v>1132000</v>
      </c>
    </row>
    <row r="9" spans="1:9" ht="23.25">
      <c r="A9" s="6"/>
      <c r="B9" s="6"/>
      <c r="C9" s="6" t="s">
        <v>73</v>
      </c>
      <c r="D9" s="20" t="s">
        <v>76</v>
      </c>
      <c r="E9" s="16"/>
      <c r="F9" s="6"/>
      <c r="G9" s="6"/>
      <c r="H9" s="46"/>
      <c r="I9" s="31"/>
    </row>
    <row r="10" spans="1:9" ht="23.25">
      <c r="A10" s="6"/>
      <c r="B10" s="6"/>
      <c r="C10" s="6"/>
      <c r="D10" s="26"/>
      <c r="E10" s="16"/>
      <c r="F10" s="6"/>
      <c r="G10" s="6"/>
      <c r="H10" s="46"/>
      <c r="I10" s="31"/>
    </row>
    <row r="11" spans="1:10" ht="23.25" customHeight="1" thickBot="1">
      <c r="A11" s="12"/>
      <c r="B11" s="12"/>
      <c r="C11" s="6"/>
      <c r="D11" s="12" t="s">
        <v>18</v>
      </c>
      <c r="E11" s="38">
        <f>SUM(E8:E10)</f>
        <v>1132000</v>
      </c>
      <c r="F11" s="38">
        <f>SUM(F8:F10)</f>
        <v>0</v>
      </c>
      <c r="G11" s="38">
        <f>SUM(G8:G10)</f>
        <v>0</v>
      </c>
      <c r="H11" s="49">
        <f>SUM(H8:H10)</f>
        <v>0</v>
      </c>
      <c r="I11" s="38">
        <f>I8</f>
        <v>1132000</v>
      </c>
      <c r="J11" s="25"/>
    </row>
    <row r="12" spans="1:10" ht="23.25" customHeight="1" thickBot="1" thickTop="1">
      <c r="A12" s="12"/>
      <c r="B12" s="12"/>
      <c r="C12" s="6"/>
      <c r="D12" s="12" t="s">
        <v>19</v>
      </c>
      <c r="E12" s="39">
        <f>E11</f>
        <v>1132000</v>
      </c>
      <c r="F12" s="39">
        <f>F11</f>
        <v>0</v>
      </c>
      <c r="G12" s="39">
        <f>G11</f>
        <v>0</v>
      </c>
      <c r="H12" s="50">
        <f>H11</f>
        <v>0</v>
      </c>
      <c r="I12" s="39">
        <f>I11</f>
        <v>1132000</v>
      </c>
      <c r="J12" s="25"/>
    </row>
    <row r="13" spans="1:10" ht="23.25" customHeight="1" thickTop="1">
      <c r="A13" s="43"/>
      <c r="B13" s="43"/>
      <c r="C13" s="44"/>
      <c r="D13" s="43"/>
      <c r="E13" s="19"/>
      <c r="F13" s="19"/>
      <c r="G13" s="19"/>
      <c r="H13" s="51"/>
      <c r="I13" s="19"/>
      <c r="J13" s="25"/>
    </row>
    <row r="14" spans="1:10" ht="23.25" customHeight="1">
      <c r="A14" s="12"/>
      <c r="B14" s="12"/>
      <c r="C14" s="6"/>
      <c r="D14" s="12" t="s">
        <v>20</v>
      </c>
      <c r="E14" s="16"/>
      <c r="F14" s="16"/>
      <c r="G14" s="16"/>
      <c r="H14" s="105"/>
      <c r="I14" s="16">
        <f>I12</f>
        <v>1132000</v>
      </c>
      <c r="J14" s="25"/>
    </row>
    <row r="15" spans="1:10" ht="23.25" customHeight="1">
      <c r="A15" s="12"/>
      <c r="B15" s="12"/>
      <c r="C15" s="6"/>
      <c r="D15" s="12"/>
      <c r="E15" s="16"/>
      <c r="F15" s="16"/>
      <c r="G15" s="16"/>
      <c r="H15" s="105"/>
      <c r="I15" s="16"/>
      <c r="J15" s="25"/>
    </row>
    <row r="16" spans="1:10" ht="23.25" customHeight="1">
      <c r="A16" s="12"/>
      <c r="B16" s="12"/>
      <c r="C16" s="6"/>
      <c r="D16" s="12"/>
      <c r="E16" s="16"/>
      <c r="F16" s="16"/>
      <c r="G16" s="16"/>
      <c r="H16" s="105"/>
      <c r="I16" s="16"/>
      <c r="J16" s="25"/>
    </row>
    <row r="17" spans="1:10" ht="23.25" customHeight="1">
      <c r="A17" s="14"/>
      <c r="B17" s="14"/>
      <c r="C17" s="9"/>
      <c r="D17" s="14"/>
      <c r="E17" s="19"/>
      <c r="F17" s="19"/>
      <c r="G17" s="19"/>
      <c r="H17" s="51"/>
      <c r="I17" s="19"/>
      <c r="J17" s="25"/>
    </row>
    <row r="18" spans="1:9" ht="23.25">
      <c r="A18" s="6"/>
      <c r="B18" s="6"/>
      <c r="C18" s="6"/>
      <c r="D18" s="12"/>
      <c r="E18" s="6"/>
      <c r="F18" s="6"/>
      <c r="G18" s="6"/>
      <c r="H18" s="46"/>
      <c r="I18" s="31"/>
    </row>
    <row r="19" spans="1:9" ht="23.25">
      <c r="A19" s="12"/>
      <c r="B19" s="12"/>
      <c r="C19" s="6"/>
      <c r="D19" s="21"/>
      <c r="E19" s="6"/>
      <c r="F19" s="6"/>
      <c r="G19" s="6"/>
      <c r="H19" s="105"/>
      <c r="I19" s="31"/>
    </row>
    <row r="20" spans="1:9" ht="23.25">
      <c r="A20" s="6"/>
      <c r="B20" s="6"/>
      <c r="C20" s="6"/>
      <c r="D20" s="21"/>
      <c r="E20" s="6"/>
      <c r="F20" s="6"/>
      <c r="G20" s="6"/>
      <c r="H20" s="105"/>
      <c r="I20" s="31"/>
    </row>
    <row r="21" spans="1:9" ht="23.25">
      <c r="A21" s="10"/>
      <c r="B21" s="10"/>
      <c r="C21" s="10"/>
      <c r="D21" s="120"/>
      <c r="E21" s="10"/>
      <c r="F21" s="10"/>
      <c r="G21" s="10"/>
      <c r="H21" s="52"/>
      <c r="I21" s="109"/>
    </row>
    <row r="22" spans="1:9" ht="23.25">
      <c r="A22" s="9"/>
      <c r="B22" s="9"/>
      <c r="C22" s="9"/>
      <c r="D22" s="119"/>
      <c r="E22" s="9"/>
      <c r="F22" s="9"/>
      <c r="G22" s="9"/>
      <c r="H22" s="108"/>
      <c r="I22" s="42"/>
    </row>
    <row r="23" spans="1:9" ht="23.25">
      <c r="A23" s="6"/>
      <c r="B23" s="6"/>
      <c r="C23" s="6"/>
      <c r="D23" s="21"/>
      <c r="E23" s="6"/>
      <c r="F23" s="6"/>
      <c r="G23" s="6"/>
      <c r="H23" s="105"/>
      <c r="I23" s="31"/>
    </row>
    <row r="24" spans="1:9" ht="23.25">
      <c r="A24" s="6"/>
      <c r="B24" s="6"/>
      <c r="C24" s="20"/>
      <c r="D24" s="21"/>
      <c r="E24" s="6"/>
      <c r="F24" s="6"/>
      <c r="G24" s="6"/>
      <c r="H24" s="46"/>
      <c r="I24" s="31"/>
    </row>
    <row r="25" spans="1:9" ht="23.25">
      <c r="A25" s="6"/>
      <c r="B25" s="6"/>
      <c r="C25" s="20"/>
      <c r="D25" s="21"/>
      <c r="E25" s="6"/>
      <c r="F25" s="6"/>
      <c r="G25" s="6"/>
      <c r="H25" s="105"/>
      <c r="I25" s="31"/>
    </row>
    <row r="26" spans="1:9" ht="23.25">
      <c r="A26" s="6"/>
      <c r="B26" s="6"/>
      <c r="C26" s="20"/>
      <c r="D26" s="21"/>
      <c r="E26" s="6"/>
      <c r="F26" s="6"/>
      <c r="G26" s="6"/>
      <c r="H26" s="46"/>
      <c r="I26" s="31"/>
    </row>
    <row r="27" spans="1:9" ht="23.25">
      <c r="A27" s="6"/>
      <c r="B27" s="6"/>
      <c r="C27" s="20"/>
      <c r="D27" s="21"/>
      <c r="E27" s="6"/>
      <c r="F27" s="6"/>
      <c r="G27" s="6"/>
      <c r="H27" s="105"/>
      <c r="I27" s="31"/>
    </row>
    <row r="28" spans="1:9" ht="23.25">
      <c r="A28" s="6"/>
      <c r="B28" s="6"/>
      <c r="C28" s="20"/>
      <c r="D28" s="21"/>
      <c r="E28" s="6"/>
      <c r="F28" s="6"/>
      <c r="G28" s="6"/>
      <c r="H28" s="46"/>
      <c r="I28" s="31"/>
    </row>
    <row r="29" spans="1:9" ht="23.25">
      <c r="A29" s="6"/>
      <c r="B29" s="6"/>
      <c r="C29" s="20"/>
      <c r="D29" s="21"/>
      <c r="E29" s="6"/>
      <c r="F29" s="6"/>
      <c r="G29" s="6"/>
      <c r="H29" s="105"/>
      <c r="I29" s="31"/>
    </row>
    <row r="30" spans="1:9" ht="23.25">
      <c r="A30" s="6"/>
      <c r="B30" s="6"/>
      <c r="C30" s="20"/>
      <c r="D30" s="21"/>
      <c r="E30" s="6"/>
      <c r="F30" s="6"/>
      <c r="G30" s="6"/>
      <c r="H30" s="105"/>
      <c r="I30" s="16"/>
    </row>
    <row r="31" spans="1:10" ht="23.25" customHeight="1" thickBot="1">
      <c r="A31" s="12"/>
      <c r="B31" s="12"/>
      <c r="C31" s="6"/>
      <c r="D31" s="12" t="s">
        <v>18</v>
      </c>
      <c r="E31" s="38">
        <f>SUM(E30:E30)</f>
        <v>0</v>
      </c>
      <c r="F31" s="38">
        <f>SUM(F30:F30)</f>
        <v>0</v>
      </c>
      <c r="G31" s="38">
        <f>SUM(G30:G30)</f>
        <v>0</v>
      </c>
      <c r="H31" s="49">
        <f>SUM(H19:H29)</f>
        <v>0</v>
      </c>
      <c r="I31" s="38">
        <f>I29</f>
        <v>0</v>
      </c>
      <c r="J31" s="25"/>
    </row>
    <row r="32" spans="1:10" ht="23.25" customHeight="1" thickBot="1" thickTop="1">
      <c r="A32" s="13"/>
      <c r="B32" s="13"/>
      <c r="C32" s="10"/>
      <c r="D32" s="13" t="s">
        <v>19</v>
      </c>
      <c r="E32" s="39">
        <f>E12</f>
        <v>1132000</v>
      </c>
      <c r="F32" s="39">
        <f>F31</f>
        <v>0</v>
      </c>
      <c r="G32" s="39">
        <f>G31</f>
        <v>0</v>
      </c>
      <c r="H32" s="50">
        <f>H31</f>
        <v>0</v>
      </c>
      <c r="I32" s="39">
        <f>E32-H32</f>
        <v>1132000</v>
      </c>
      <c r="J32" s="25"/>
    </row>
    <row r="33" ht="24" thickTop="1"/>
  </sheetData>
  <sheetProtection/>
  <mergeCells count="8">
    <mergeCell ref="A1:H1"/>
    <mergeCell ref="A2:I2"/>
    <mergeCell ref="A3:I3"/>
    <mergeCell ref="A4:I4"/>
    <mergeCell ref="A5:I5"/>
    <mergeCell ref="C6:C7"/>
    <mergeCell ref="D6:D7"/>
    <mergeCell ref="E6:I6"/>
  </mergeCells>
  <printOptions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  <headerFooter alignWithMargins="0">
    <oddFooter>&amp;C&amp;"Angsana New,ธรรมดา"&amp;14หน้า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pane xSplit="4" ySplit="7" topLeftCell="E5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44" sqref="D44"/>
    </sheetView>
  </sheetViews>
  <sheetFormatPr defaultColWidth="9.140625" defaultRowHeight="12.75"/>
  <cols>
    <col min="1" max="1" width="10.00390625" style="3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6384" width="9.140625" style="1" customWidth="1"/>
  </cols>
  <sheetData>
    <row r="1" spans="1:9" ht="29.25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</row>
    <row r="2" spans="1:14" ht="23.25">
      <c r="A2" s="374" t="s">
        <v>82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ht="23.25">
      <c r="A3" s="375" t="s">
        <v>109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68" t="s">
        <v>83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76" t="s">
        <v>105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9" ht="23.25">
      <c r="A6" s="7" t="s">
        <v>0</v>
      </c>
      <c r="B6" s="4"/>
      <c r="C6" s="370" t="s">
        <v>3</v>
      </c>
      <c r="D6" s="370" t="s">
        <v>4</v>
      </c>
      <c r="E6" s="371" t="s">
        <v>10</v>
      </c>
      <c r="F6" s="372"/>
      <c r="G6" s="372"/>
      <c r="H6" s="372"/>
      <c r="I6" s="373"/>
    </row>
    <row r="7" spans="1:9" ht="23.25">
      <c r="A7" s="4" t="s">
        <v>1</v>
      </c>
      <c r="B7" s="4" t="s">
        <v>2</v>
      </c>
      <c r="C7" s="370"/>
      <c r="D7" s="370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</row>
    <row r="8" spans="1:9" ht="23.25">
      <c r="A8" s="27" t="s">
        <v>13</v>
      </c>
      <c r="B8" s="27">
        <v>18</v>
      </c>
      <c r="C8" s="26" t="s">
        <v>110</v>
      </c>
      <c r="D8" s="26" t="s">
        <v>112</v>
      </c>
      <c r="E8" s="19">
        <v>269000</v>
      </c>
      <c r="F8" s="19"/>
      <c r="G8" s="19"/>
      <c r="H8" s="19"/>
      <c r="I8" s="19">
        <f>E8</f>
        <v>269000</v>
      </c>
    </row>
    <row r="9" spans="1:9" ht="23.25" customHeight="1">
      <c r="A9" s="12"/>
      <c r="B9" s="12"/>
      <c r="C9" s="6" t="s">
        <v>111</v>
      </c>
      <c r="D9" s="20" t="s">
        <v>113</v>
      </c>
      <c r="E9" s="16"/>
      <c r="F9" s="16"/>
      <c r="G9" s="16"/>
      <c r="H9" s="16"/>
      <c r="I9" s="16"/>
    </row>
    <row r="10" spans="1:9" ht="23.25">
      <c r="A10" s="12"/>
      <c r="B10" s="12"/>
      <c r="C10" s="97"/>
      <c r="D10" s="20" t="s">
        <v>114</v>
      </c>
      <c r="E10" s="16"/>
      <c r="F10" s="16"/>
      <c r="G10" s="16"/>
      <c r="H10" s="16"/>
      <c r="I10" s="16"/>
    </row>
    <row r="11" spans="1:9" ht="23.25">
      <c r="A11" s="12"/>
      <c r="B11" s="12"/>
      <c r="C11" s="97"/>
      <c r="D11" s="6"/>
      <c r="E11" s="16"/>
      <c r="F11" s="16"/>
      <c r="G11" s="16"/>
      <c r="H11" s="16"/>
      <c r="I11" s="16"/>
    </row>
    <row r="12" spans="1:9" ht="24" thickBot="1">
      <c r="A12" s="12"/>
      <c r="B12" s="12"/>
      <c r="C12" s="6"/>
      <c r="D12" s="12" t="s">
        <v>21</v>
      </c>
      <c r="E12" s="38">
        <f>SUM(E7:E9)</f>
        <v>269000</v>
      </c>
      <c r="F12" s="38">
        <f>SUM(F7:F9)</f>
        <v>0</v>
      </c>
      <c r="G12" s="38">
        <f>SUM(G7:G9)</f>
        <v>0</v>
      </c>
      <c r="H12" s="38">
        <f>SUM(H10:H11)</f>
        <v>0</v>
      </c>
      <c r="I12" s="38">
        <f>E12-H12</f>
        <v>269000</v>
      </c>
    </row>
    <row r="13" spans="1:9" ht="24.75" thickBot="1" thickTop="1">
      <c r="A13" s="22"/>
      <c r="B13" s="12"/>
      <c r="C13" s="6"/>
      <c r="D13" s="12" t="s">
        <v>19</v>
      </c>
      <c r="E13" s="39">
        <f>E12</f>
        <v>269000</v>
      </c>
      <c r="F13" s="39">
        <f>F12</f>
        <v>0</v>
      </c>
      <c r="G13" s="39">
        <f>G12</f>
        <v>0</v>
      </c>
      <c r="H13" s="39">
        <f>H12</f>
        <v>0</v>
      </c>
      <c r="I13" s="39">
        <f>I12</f>
        <v>269000</v>
      </c>
    </row>
    <row r="14" spans="1:9" ht="24" thickTop="1">
      <c r="A14" s="22"/>
      <c r="B14" s="12"/>
      <c r="C14" s="6"/>
      <c r="D14" s="12"/>
      <c r="E14" s="16"/>
      <c r="F14" s="16"/>
      <c r="G14" s="16"/>
      <c r="H14" s="16"/>
      <c r="I14" s="16"/>
    </row>
    <row r="15" spans="1:9" ht="23.25">
      <c r="A15" s="22"/>
      <c r="B15" s="12"/>
      <c r="C15" s="6"/>
      <c r="D15" s="22" t="s">
        <v>20</v>
      </c>
      <c r="E15" s="16"/>
      <c r="F15" s="16"/>
      <c r="G15" s="16"/>
      <c r="H15" s="16"/>
      <c r="I15" s="16">
        <f>I13</f>
        <v>269000</v>
      </c>
    </row>
    <row r="16" spans="1:9" ht="23.25">
      <c r="A16" s="22" t="s">
        <v>15</v>
      </c>
      <c r="B16" s="12">
        <v>30</v>
      </c>
      <c r="C16" s="26" t="s">
        <v>209</v>
      </c>
      <c r="D16" s="6" t="s">
        <v>157</v>
      </c>
      <c r="E16" s="16"/>
      <c r="F16" s="16"/>
      <c r="G16" s="16"/>
      <c r="H16" s="16">
        <v>226000</v>
      </c>
      <c r="I16" s="16">
        <f>I15+E16-H16</f>
        <v>43000</v>
      </c>
    </row>
    <row r="17" spans="1:9" ht="23.25">
      <c r="A17" s="22"/>
      <c r="B17" s="12"/>
      <c r="C17" s="6"/>
      <c r="D17" s="20" t="s">
        <v>158</v>
      </c>
      <c r="E17" s="16">
        <v>-43000</v>
      </c>
      <c r="F17" s="16"/>
      <c r="G17" s="16"/>
      <c r="H17" s="16"/>
      <c r="I17" s="16">
        <f>H17</f>
        <v>0</v>
      </c>
    </row>
    <row r="18" spans="1:9" ht="23.25">
      <c r="A18" s="22"/>
      <c r="B18" s="12"/>
      <c r="C18" s="97"/>
      <c r="D18" s="6"/>
      <c r="E18" s="16"/>
      <c r="F18" s="16"/>
      <c r="G18" s="16"/>
      <c r="H18" s="16"/>
      <c r="I18" s="16"/>
    </row>
    <row r="19" spans="1:9" ht="24" thickBot="1">
      <c r="A19" s="12"/>
      <c r="B19" s="12"/>
      <c r="C19" s="6"/>
      <c r="D19" s="12" t="s">
        <v>21</v>
      </c>
      <c r="E19" s="38">
        <f>SUM(E16:E18)</f>
        <v>-43000</v>
      </c>
      <c r="F19" s="38"/>
      <c r="G19" s="38"/>
      <c r="H19" s="38">
        <f>SUM(H16:H18)</f>
        <v>226000</v>
      </c>
      <c r="I19" s="38">
        <f>I17</f>
        <v>0</v>
      </c>
    </row>
    <row r="20" spans="1:9" ht="24.75" thickBot="1" thickTop="1">
      <c r="A20" s="22"/>
      <c r="B20" s="12"/>
      <c r="C20" s="6"/>
      <c r="D20" s="12" t="s">
        <v>19</v>
      </c>
      <c r="E20" s="39">
        <f>E13+E19</f>
        <v>226000</v>
      </c>
      <c r="F20" s="39">
        <f>F13+F19</f>
        <v>0</v>
      </c>
      <c r="G20" s="39">
        <f>G13+G19</f>
        <v>0</v>
      </c>
      <c r="H20" s="39">
        <f>H13+H19</f>
        <v>226000</v>
      </c>
      <c r="I20" s="39">
        <f>E20+F20-H20</f>
        <v>0</v>
      </c>
    </row>
    <row r="21" spans="1:9" ht="24" thickTop="1">
      <c r="A21" s="98"/>
      <c r="B21" s="99"/>
      <c r="C21" s="100"/>
      <c r="D21" s="99"/>
      <c r="E21" s="101"/>
      <c r="F21" s="101"/>
      <c r="G21" s="101"/>
      <c r="H21" s="101"/>
      <c r="I21" s="101"/>
    </row>
    <row r="22" spans="1:9" ht="23.25">
      <c r="A22" s="111"/>
      <c r="B22" s="126"/>
      <c r="C22" s="40"/>
      <c r="D22" s="126" t="s">
        <v>20</v>
      </c>
      <c r="E22" s="41"/>
      <c r="F22" s="41"/>
      <c r="G22" s="41"/>
      <c r="H22" s="41"/>
      <c r="I22" s="41">
        <f>I20</f>
        <v>0</v>
      </c>
    </row>
    <row r="23" spans="1:9" ht="23.25">
      <c r="A23" s="27" t="s">
        <v>24</v>
      </c>
      <c r="B23" s="27">
        <v>18</v>
      </c>
      <c r="C23" s="26" t="s">
        <v>110</v>
      </c>
      <c r="D23" s="26" t="s">
        <v>112</v>
      </c>
      <c r="E23" s="19">
        <v>471500</v>
      </c>
      <c r="F23" s="19"/>
      <c r="G23" s="19"/>
      <c r="H23" s="19"/>
      <c r="I23" s="19">
        <f>E23</f>
        <v>471500</v>
      </c>
    </row>
    <row r="24" spans="1:9" ht="23.25" customHeight="1">
      <c r="A24" s="12"/>
      <c r="B24" s="12"/>
      <c r="C24" s="6" t="s">
        <v>111</v>
      </c>
      <c r="D24" s="20" t="s">
        <v>113</v>
      </c>
      <c r="E24" s="16"/>
      <c r="F24" s="16"/>
      <c r="G24" s="16"/>
      <c r="H24" s="16"/>
      <c r="I24" s="16"/>
    </row>
    <row r="25" spans="1:9" ht="23.25">
      <c r="A25" s="12"/>
      <c r="B25" s="12"/>
      <c r="C25" s="97"/>
      <c r="D25" s="20" t="s">
        <v>114</v>
      </c>
      <c r="E25" s="16"/>
      <c r="F25" s="16"/>
      <c r="G25" s="16"/>
      <c r="H25" s="16"/>
      <c r="I25" s="16"/>
    </row>
    <row r="26" spans="1:9" ht="23.25">
      <c r="A26" s="12"/>
      <c r="B26" s="12"/>
      <c r="C26" s="97"/>
      <c r="D26" s="6" t="s">
        <v>208</v>
      </c>
      <c r="E26" s="16"/>
      <c r="F26" s="16"/>
      <c r="G26" s="16"/>
      <c r="H26" s="16"/>
      <c r="I26" s="16"/>
    </row>
    <row r="27" spans="1:9" ht="24" thickBot="1">
      <c r="A27" s="12"/>
      <c r="B27" s="12"/>
      <c r="C27" s="6"/>
      <c r="D27" s="12" t="s">
        <v>21</v>
      </c>
      <c r="E27" s="38">
        <f>SUM(E21:E24)</f>
        <v>471500</v>
      </c>
      <c r="F27" s="38">
        <f>SUM(F21:F24)</f>
        <v>0</v>
      </c>
      <c r="G27" s="38">
        <f>SUM(G21:G24)</f>
        <v>0</v>
      </c>
      <c r="H27" s="38">
        <f>SUM(H25:H26)</f>
        <v>0</v>
      </c>
      <c r="I27" s="38">
        <f>E27-H27</f>
        <v>471500</v>
      </c>
    </row>
    <row r="28" spans="1:9" ht="24.75" thickBot="1" thickTop="1">
      <c r="A28" s="22"/>
      <c r="B28" s="12"/>
      <c r="C28" s="6"/>
      <c r="D28" s="12" t="s">
        <v>19</v>
      </c>
      <c r="E28" s="39">
        <f>E20+E27</f>
        <v>697500</v>
      </c>
      <c r="F28" s="39">
        <f>F20+F27</f>
        <v>0</v>
      </c>
      <c r="G28" s="39">
        <f>G20+G27</f>
        <v>0</v>
      </c>
      <c r="H28" s="39">
        <f>H20+H27</f>
        <v>226000</v>
      </c>
      <c r="I28" s="39">
        <f>I27</f>
        <v>471500</v>
      </c>
    </row>
    <row r="29" spans="1:9" ht="24" thickTop="1">
      <c r="A29" s="27"/>
      <c r="B29" s="28"/>
      <c r="C29" s="28"/>
      <c r="D29" s="28"/>
      <c r="E29" s="28"/>
      <c r="F29" s="28"/>
      <c r="G29" s="28"/>
      <c r="H29" s="28"/>
      <c r="I29" s="28"/>
    </row>
    <row r="30" spans="1:9" ht="23.25">
      <c r="A30" s="12"/>
      <c r="B30" s="6"/>
      <c r="C30" s="6"/>
      <c r="D30" s="6"/>
      <c r="E30" s="6"/>
      <c r="F30" s="6"/>
      <c r="G30" s="6"/>
      <c r="H30" s="6"/>
      <c r="I30" s="6"/>
    </row>
    <row r="31" spans="1:9" ht="23.25">
      <c r="A31" s="12"/>
      <c r="B31" s="6"/>
      <c r="C31" s="6"/>
      <c r="D31" s="6"/>
      <c r="E31" s="6"/>
      <c r="F31" s="6"/>
      <c r="G31" s="6"/>
      <c r="H31" s="6"/>
      <c r="I31" s="6"/>
    </row>
    <row r="32" spans="1:9" ht="23.25">
      <c r="A32" s="12"/>
      <c r="B32" s="6"/>
      <c r="C32" s="6"/>
      <c r="D32" s="6"/>
      <c r="E32" s="6"/>
      <c r="F32" s="6"/>
      <c r="G32" s="6"/>
      <c r="H32" s="6"/>
      <c r="I32" s="6"/>
    </row>
    <row r="33" spans="1:9" ht="23.25">
      <c r="A33" s="12"/>
      <c r="B33" s="6"/>
      <c r="C33" s="6"/>
      <c r="D33" s="6"/>
      <c r="E33" s="6"/>
      <c r="F33" s="6"/>
      <c r="G33" s="6"/>
      <c r="H33" s="6"/>
      <c r="I33" s="6"/>
    </row>
    <row r="34" spans="1:9" ht="23.25">
      <c r="A34" s="12"/>
      <c r="B34" s="6"/>
      <c r="C34" s="6"/>
      <c r="D34" s="6"/>
      <c r="E34" s="6"/>
      <c r="F34" s="6"/>
      <c r="G34" s="6"/>
      <c r="H34" s="6"/>
      <c r="I34" s="6"/>
    </row>
    <row r="35" spans="1:9" ht="23.25">
      <c r="A35" s="13"/>
      <c r="B35" s="10"/>
      <c r="C35" s="10"/>
      <c r="D35" s="10"/>
      <c r="E35" s="10"/>
      <c r="F35" s="10"/>
      <c r="G35" s="10"/>
      <c r="H35" s="10"/>
      <c r="I35" s="10"/>
    </row>
    <row r="36" spans="1:9" ht="23.25">
      <c r="A36" s="14"/>
      <c r="B36" s="14"/>
      <c r="C36" s="106"/>
      <c r="D36" s="23" t="s">
        <v>20</v>
      </c>
      <c r="E36" s="18"/>
      <c r="F36" s="18"/>
      <c r="G36" s="18"/>
      <c r="H36" s="18"/>
      <c r="I36" s="18">
        <f>I28</f>
        <v>471500</v>
      </c>
    </row>
    <row r="37" spans="1:9" ht="23.25" customHeight="1">
      <c r="A37" s="12" t="s">
        <v>25</v>
      </c>
      <c r="B37" s="12">
        <v>15</v>
      </c>
      <c r="C37" s="6" t="s">
        <v>226</v>
      </c>
      <c r="D37" s="6" t="s">
        <v>157</v>
      </c>
      <c r="E37" s="16"/>
      <c r="F37" s="16"/>
      <c r="G37" s="16"/>
      <c r="H37" s="16">
        <v>471500</v>
      </c>
      <c r="I37" s="16">
        <f>I36+E37-H37</f>
        <v>0</v>
      </c>
    </row>
    <row r="38" spans="1:9" ht="23.25" customHeight="1">
      <c r="A38" s="12"/>
      <c r="B38" s="27">
        <v>21</v>
      </c>
      <c r="C38" s="26" t="s">
        <v>238</v>
      </c>
      <c r="D38" s="26" t="s">
        <v>112</v>
      </c>
      <c r="E38" s="19">
        <v>177780.49</v>
      </c>
      <c r="F38" s="19"/>
      <c r="G38" s="19"/>
      <c r="H38" s="19"/>
      <c r="I38" s="16">
        <f>I37+E38-H38</f>
        <v>177780.49</v>
      </c>
    </row>
    <row r="39" spans="1:9" ht="23.25" customHeight="1">
      <c r="A39" s="12"/>
      <c r="B39" s="12"/>
      <c r="C39" s="6" t="s">
        <v>239</v>
      </c>
      <c r="D39" s="20" t="s">
        <v>113</v>
      </c>
      <c r="E39" s="16"/>
      <c r="F39" s="16"/>
      <c r="G39" s="16"/>
      <c r="H39" s="16"/>
      <c r="I39" s="16"/>
    </row>
    <row r="40" spans="1:9" ht="23.25" customHeight="1">
      <c r="A40" s="12"/>
      <c r="B40" s="12"/>
      <c r="C40" s="97"/>
      <c r="D40" s="20" t="s">
        <v>114</v>
      </c>
      <c r="E40" s="16"/>
      <c r="F40" s="16"/>
      <c r="G40" s="16"/>
      <c r="H40" s="16"/>
      <c r="I40" s="16"/>
    </row>
    <row r="41" spans="1:9" ht="23.25" customHeight="1">
      <c r="A41" s="12"/>
      <c r="B41" s="12"/>
      <c r="C41" s="97"/>
      <c r="D41" s="6" t="s">
        <v>240</v>
      </c>
      <c r="E41" s="16"/>
      <c r="F41" s="16"/>
      <c r="G41" s="16"/>
      <c r="H41" s="16"/>
      <c r="I41" s="16"/>
    </row>
    <row r="42" spans="1:9" ht="23.25">
      <c r="A42" s="12"/>
      <c r="B42" s="12">
        <v>28</v>
      </c>
      <c r="C42" s="97" t="s">
        <v>241</v>
      </c>
      <c r="D42" s="20" t="s">
        <v>157</v>
      </c>
      <c r="E42" s="16"/>
      <c r="F42" s="16"/>
      <c r="G42" s="16"/>
      <c r="H42" s="16">
        <v>177780.49</v>
      </c>
      <c r="I42" s="16">
        <f>I38+E42-H42</f>
        <v>0</v>
      </c>
    </row>
    <row r="43" spans="1:9" ht="23.25">
      <c r="A43" s="12"/>
      <c r="B43" s="12"/>
      <c r="C43" s="97"/>
      <c r="D43" s="20"/>
      <c r="E43" s="16"/>
      <c r="F43" s="16"/>
      <c r="G43" s="16"/>
      <c r="H43" s="16"/>
      <c r="I43" s="16"/>
    </row>
    <row r="44" spans="1:9" ht="24" thickBot="1">
      <c r="A44" s="12"/>
      <c r="B44" s="12"/>
      <c r="C44" s="6"/>
      <c r="D44" s="12" t="s">
        <v>21</v>
      </c>
      <c r="E44" s="38">
        <f>SUM(E37:E43)</f>
        <v>177780.49</v>
      </c>
      <c r="F44" s="38">
        <f>SUM(F28:F37)</f>
        <v>0</v>
      </c>
      <c r="G44" s="38">
        <f>SUM(G28:G37)</f>
        <v>0</v>
      </c>
      <c r="H44" s="38">
        <f>SUM(H37:H43)</f>
        <v>649280.49</v>
      </c>
      <c r="I44" s="38">
        <f>I37</f>
        <v>0</v>
      </c>
    </row>
    <row r="45" spans="1:9" ht="24.75" thickBot="1" thickTop="1">
      <c r="A45" s="22"/>
      <c r="B45" s="12"/>
      <c r="C45" s="6"/>
      <c r="D45" s="12" t="s">
        <v>19</v>
      </c>
      <c r="E45" s="39">
        <f>E28+E44</f>
        <v>875280.49</v>
      </c>
      <c r="F45" s="39">
        <f>F28+F44</f>
        <v>0</v>
      </c>
      <c r="G45" s="39">
        <f>G28+G44</f>
        <v>0</v>
      </c>
      <c r="H45" s="39">
        <f>H28+H44</f>
        <v>875280.49</v>
      </c>
      <c r="I45" s="39">
        <f>I44</f>
        <v>0</v>
      </c>
    </row>
    <row r="46" spans="1:9" ht="24" thickTop="1">
      <c r="A46" s="14"/>
      <c r="B46" s="9"/>
      <c r="C46" s="9"/>
      <c r="D46" s="9"/>
      <c r="E46" s="9"/>
      <c r="F46" s="9"/>
      <c r="G46" s="9"/>
      <c r="H46" s="9"/>
      <c r="I46" s="9"/>
    </row>
    <row r="47" spans="1:9" ht="23.25">
      <c r="A47" s="12"/>
      <c r="B47" s="6"/>
      <c r="C47" s="6"/>
      <c r="D47" s="6"/>
      <c r="E47" s="6"/>
      <c r="F47" s="6"/>
      <c r="G47" s="6"/>
      <c r="H47" s="6"/>
      <c r="I47" s="6"/>
    </row>
    <row r="48" spans="1:9" ht="23.25">
      <c r="A48" s="12"/>
      <c r="B48" s="6"/>
      <c r="C48" s="6"/>
      <c r="D48" s="6"/>
      <c r="E48" s="6"/>
      <c r="F48" s="6"/>
      <c r="G48" s="6"/>
      <c r="H48" s="6"/>
      <c r="I48" s="6"/>
    </row>
    <row r="49" spans="1:9" ht="23.25">
      <c r="A49" s="13"/>
      <c r="B49" s="10"/>
      <c r="C49" s="10"/>
      <c r="D49" s="10"/>
      <c r="E49" s="10"/>
      <c r="F49" s="10"/>
      <c r="G49" s="10"/>
      <c r="H49" s="10"/>
      <c r="I49" s="10"/>
    </row>
    <row r="50" spans="1:9" ht="23.25">
      <c r="A50" s="14"/>
      <c r="B50" s="14"/>
      <c r="C50" s="106"/>
      <c r="D50" s="23" t="s">
        <v>20</v>
      </c>
      <c r="E50" s="18"/>
      <c r="F50" s="18"/>
      <c r="G50" s="18"/>
      <c r="H50" s="18"/>
      <c r="I50" s="18">
        <f>I42</f>
        <v>0</v>
      </c>
    </row>
    <row r="51" spans="1:9" ht="23.25">
      <c r="A51" s="359" t="s">
        <v>30</v>
      </c>
      <c r="B51" s="27">
        <v>16</v>
      </c>
      <c r="C51" s="26" t="s">
        <v>415</v>
      </c>
      <c r="D51" s="26" t="s">
        <v>112</v>
      </c>
      <c r="E51" s="19">
        <v>14031.61</v>
      </c>
      <c r="F51" s="19"/>
      <c r="G51" s="19"/>
      <c r="H51" s="19"/>
      <c r="I51" s="16">
        <f>I50+E51-H51</f>
        <v>14031.61</v>
      </c>
    </row>
    <row r="52" spans="1:9" ht="23.25">
      <c r="A52" s="12"/>
      <c r="B52" s="12"/>
      <c r="C52" s="6" t="s">
        <v>416</v>
      </c>
      <c r="D52" s="20" t="s">
        <v>113</v>
      </c>
      <c r="E52" s="16"/>
      <c r="F52" s="16"/>
      <c r="G52" s="16"/>
      <c r="H52" s="16"/>
      <c r="I52" s="16"/>
    </row>
    <row r="53" spans="1:9" ht="23.25">
      <c r="A53" s="72"/>
      <c r="B53" s="72"/>
      <c r="C53" s="164"/>
      <c r="D53" s="20" t="s">
        <v>114</v>
      </c>
      <c r="E53" s="16"/>
      <c r="F53" s="16"/>
      <c r="G53" s="16"/>
      <c r="H53" s="16"/>
      <c r="I53" s="16"/>
    </row>
    <row r="54" spans="1:9" ht="23.25">
      <c r="A54" s="72"/>
      <c r="B54" s="72"/>
      <c r="C54" s="164"/>
      <c r="D54" s="6" t="s">
        <v>240</v>
      </c>
      <c r="E54" s="16"/>
      <c r="F54" s="16"/>
      <c r="G54" s="16"/>
      <c r="H54" s="16"/>
      <c r="I54" s="16"/>
    </row>
    <row r="55" spans="1:9" ht="23.25">
      <c r="A55" s="12"/>
      <c r="B55" s="12">
        <v>18</v>
      </c>
      <c r="C55" s="97" t="s">
        <v>396</v>
      </c>
      <c r="D55" s="20" t="s">
        <v>157</v>
      </c>
      <c r="E55" s="16"/>
      <c r="F55" s="16"/>
      <c r="G55" s="16"/>
      <c r="H55" s="16">
        <v>14031.61</v>
      </c>
      <c r="I55" s="16">
        <f>I51+E55-H55</f>
        <v>0</v>
      </c>
    </row>
    <row r="56" spans="1:9" ht="23.25">
      <c r="A56" s="12"/>
      <c r="B56" s="12"/>
      <c r="C56" s="97"/>
      <c r="D56" s="20"/>
      <c r="E56" s="16"/>
      <c r="F56" s="16"/>
      <c r="G56" s="16"/>
      <c r="H56" s="16"/>
      <c r="I56" s="16"/>
    </row>
    <row r="57" spans="1:9" ht="24" thickBot="1">
      <c r="A57" s="12"/>
      <c r="B57" s="12"/>
      <c r="C57" s="6"/>
      <c r="D57" s="12" t="s">
        <v>21</v>
      </c>
      <c r="E57" s="38">
        <f>SUM(E51:E56)</f>
        <v>14031.61</v>
      </c>
      <c r="F57" s="38">
        <f>SUM(F42:F51)</f>
        <v>0</v>
      </c>
      <c r="G57" s="38">
        <f>SUM(G42:G51)</f>
        <v>0</v>
      </c>
      <c r="H57" s="38">
        <f>SUM(H51:H56)</f>
        <v>14031.61</v>
      </c>
      <c r="I57" s="38">
        <f>I55</f>
        <v>0</v>
      </c>
    </row>
    <row r="58" spans="1:9" ht="24.75" thickBot="1" thickTop="1">
      <c r="A58" s="22"/>
      <c r="B58" s="12"/>
      <c r="C58" s="6"/>
      <c r="D58" s="12" t="s">
        <v>19</v>
      </c>
      <c r="E58" s="39">
        <f>E45+E57</f>
        <v>889312.1</v>
      </c>
      <c r="F58" s="39">
        <f>F45+F57</f>
        <v>0</v>
      </c>
      <c r="G58" s="39">
        <f>G45+G57</f>
        <v>0</v>
      </c>
      <c r="H58" s="39">
        <f>H45+H57</f>
        <v>889312.1</v>
      </c>
      <c r="I58" s="39">
        <f>I45+I57</f>
        <v>0</v>
      </c>
    </row>
    <row r="59" spans="1:9" ht="24" thickTop="1">
      <c r="A59" s="14"/>
      <c r="B59" s="9"/>
      <c r="C59" s="9"/>
      <c r="D59" s="9"/>
      <c r="E59" s="9"/>
      <c r="F59" s="9"/>
      <c r="G59" s="9"/>
      <c r="H59" s="9"/>
      <c r="I59" s="9"/>
    </row>
    <row r="60" spans="1:9" ht="23.25">
      <c r="A60" s="14"/>
      <c r="B60" s="9"/>
      <c r="C60" s="9"/>
      <c r="D60" s="9"/>
      <c r="E60" s="9"/>
      <c r="F60" s="9"/>
      <c r="G60" s="9"/>
      <c r="H60" s="9"/>
      <c r="I60" s="9"/>
    </row>
    <row r="61" spans="1:9" ht="23.25">
      <c r="A61" s="12"/>
      <c r="B61" s="6"/>
      <c r="C61" s="6"/>
      <c r="D61" s="6"/>
      <c r="E61" s="6"/>
      <c r="F61" s="6"/>
      <c r="G61" s="6"/>
      <c r="H61" s="6"/>
      <c r="I61" s="6"/>
    </row>
    <row r="62" spans="1:9" ht="23.25">
      <c r="A62" s="12"/>
      <c r="B62" s="6"/>
      <c r="C62" s="6"/>
      <c r="D62" s="6"/>
      <c r="E62" s="6"/>
      <c r="F62" s="6"/>
      <c r="G62" s="6"/>
      <c r="H62" s="6"/>
      <c r="I62" s="6"/>
    </row>
    <row r="63" spans="1:9" ht="23.25">
      <c r="A63" s="13"/>
      <c r="B63" s="10"/>
      <c r="C63" s="10"/>
      <c r="D63" s="10"/>
      <c r="E63" s="10"/>
      <c r="F63" s="10"/>
      <c r="G63" s="10"/>
      <c r="H63" s="10"/>
      <c r="I63" s="10"/>
    </row>
  </sheetData>
  <sheetProtection/>
  <mergeCells count="8">
    <mergeCell ref="A1:H1"/>
    <mergeCell ref="A2:I2"/>
    <mergeCell ref="A3:I3"/>
    <mergeCell ref="A4:I4"/>
    <mergeCell ref="A5:I5"/>
    <mergeCell ref="C6:C7"/>
    <mergeCell ref="D6:D7"/>
    <mergeCell ref="E6:I6"/>
  </mergeCells>
  <printOptions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  <headerFooter alignWithMargins="0">
    <oddFooter>&amp;C&amp;"AngsanaUPC,ตัวปกติ"&amp;14หน้า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9" sqref="F19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28125" style="1" customWidth="1"/>
    <col min="5" max="9" width="14.28125" style="1" customWidth="1"/>
    <col min="10" max="16384" width="9.140625" style="1" customWidth="1"/>
  </cols>
  <sheetData>
    <row r="1" spans="1:9" s="2" customFormat="1" ht="29.25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</row>
    <row r="2" spans="1:14" ht="23.25">
      <c r="A2" s="374" t="s">
        <v>68</v>
      </c>
      <c r="B2" s="374"/>
      <c r="C2" s="374"/>
      <c r="D2" s="374"/>
      <c r="E2" s="374"/>
      <c r="F2" s="374"/>
      <c r="G2" s="374"/>
      <c r="H2" s="374"/>
      <c r="I2" s="374"/>
      <c r="J2" s="175"/>
      <c r="K2" s="175"/>
      <c r="L2" s="175"/>
      <c r="M2" s="175"/>
      <c r="N2" s="175"/>
    </row>
    <row r="3" spans="1:14" ht="23.25">
      <c r="A3" s="377" t="s">
        <v>74</v>
      </c>
      <c r="B3" s="377"/>
      <c r="C3" s="377"/>
      <c r="D3" s="377"/>
      <c r="E3" s="377"/>
      <c r="F3" s="377"/>
      <c r="G3" s="377"/>
      <c r="H3" s="377"/>
      <c r="I3" s="377"/>
      <c r="J3" s="176"/>
      <c r="K3" s="176"/>
      <c r="L3" s="176"/>
      <c r="M3" s="176"/>
      <c r="N3" s="176"/>
    </row>
    <row r="4" spans="1:14" ht="23.25">
      <c r="A4" s="368" t="s">
        <v>69</v>
      </c>
      <c r="B4" s="368"/>
      <c r="C4" s="368"/>
      <c r="D4" s="368"/>
      <c r="E4" s="368"/>
      <c r="F4" s="368"/>
      <c r="G4" s="368"/>
      <c r="H4" s="368"/>
      <c r="I4" s="368"/>
      <c r="J4" s="175"/>
      <c r="K4" s="175"/>
      <c r="L4" s="175"/>
      <c r="M4" s="175"/>
      <c r="N4" s="175"/>
    </row>
    <row r="5" spans="1:14" ht="23.25">
      <c r="A5" s="376" t="s">
        <v>144</v>
      </c>
      <c r="B5" s="376"/>
      <c r="C5" s="376"/>
      <c r="D5" s="376"/>
      <c r="E5" s="376"/>
      <c r="F5" s="376"/>
      <c r="G5" s="376"/>
      <c r="H5" s="376"/>
      <c r="I5" s="376"/>
      <c r="J5" s="176"/>
      <c r="K5" s="176"/>
      <c r="L5" s="176"/>
      <c r="M5" s="176"/>
      <c r="N5" s="176"/>
    </row>
    <row r="6" spans="1:9" s="3" customFormat="1" ht="23.25">
      <c r="A6" s="7" t="s">
        <v>0</v>
      </c>
      <c r="B6" s="4"/>
      <c r="C6" s="378" t="s">
        <v>3</v>
      </c>
      <c r="D6" s="378" t="s">
        <v>4</v>
      </c>
      <c r="E6" s="371" t="s">
        <v>10</v>
      </c>
      <c r="F6" s="372"/>
      <c r="G6" s="372"/>
      <c r="H6" s="372"/>
      <c r="I6" s="373"/>
    </row>
    <row r="7" spans="1:9" s="3" customFormat="1" ht="23.25">
      <c r="A7" s="4" t="s">
        <v>1</v>
      </c>
      <c r="B7" s="4" t="s">
        <v>2</v>
      </c>
      <c r="C7" s="379"/>
      <c r="D7" s="379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</row>
    <row r="8" spans="1:9" ht="23.25">
      <c r="A8" s="11" t="s">
        <v>13</v>
      </c>
      <c r="B8" s="11"/>
      <c r="C8" s="15"/>
      <c r="D8" s="111" t="s">
        <v>20</v>
      </c>
      <c r="E8" s="36">
        <v>1000000</v>
      </c>
      <c r="F8" s="5"/>
      <c r="G8" s="5"/>
      <c r="H8" s="5"/>
      <c r="I8" s="37">
        <f>E8</f>
        <v>1000000</v>
      </c>
    </row>
    <row r="9" spans="1:9" ht="23.25">
      <c r="A9" s="6"/>
      <c r="B9" s="6"/>
      <c r="C9" s="6"/>
      <c r="D9" s="26"/>
      <c r="E9" s="16"/>
      <c r="F9" s="6"/>
      <c r="G9" s="6"/>
      <c r="H9" s="6"/>
      <c r="I9" s="31"/>
    </row>
    <row r="10" spans="1:10" ht="23.25" customHeight="1" thickBot="1">
      <c r="A10" s="12"/>
      <c r="B10" s="12"/>
      <c r="C10" s="6"/>
      <c r="D10" s="12" t="s">
        <v>18</v>
      </c>
      <c r="E10" s="38">
        <f>SUM(E8:E9)</f>
        <v>1000000</v>
      </c>
      <c r="F10" s="38">
        <f>SUM(F8:F9)</f>
        <v>0</v>
      </c>
      <c r="G10" s="38">
        <f>SUM(G8:G9)</f>
        <v>0</v>
      </c>
      <c r="H10" s="49">
        <f>SUM(H8:H9)</f>
        <v>0</v>
      </c>
      <c r="I10" s="38">
        <f>I8</f>
        <v>1000000</v>
      </c>
      <c r="J10" s="25"/>
    </row>
    <row r="11" spans="1:10" ht="23.25" customHeight="1" thickBot="1" thickTop="1">
      <c r="A11" s="12"/>
      <c r="B11" s="12"/>
      <c r="C11" s="6"/>
      <c r="D11" s="12" t="s">
        <v>19</v>
      </c>
      <c r="E11" s="39">
        <f>E10</f>
        <v>1000000</v>
      </c>
      <c r="F11" s="39">
        <f>F10</f>
        <v>0</v>
      </c>
      <c r="G11" s="39">
        <f>G10</f>
        <v>0</v>
      </c>
      <c r="H11" s="50">
        <f>H10</f>
        <v>0</v>
      </c>
      <c r="I11" s="39">
        <f>I10</f>
        <v>1000000</v>
      </c>
      <c r="J11" s="25"/>
    </row>
    <row r="12" spans="1:10" ht="23.25" customHeight="1" thickTop="1">
      <c r="A12" s="43"/>
      <c r="B12" s="43"/>
      <c r="C12" s="44"/>
      <c r="D12" s="43"/>
      <c r="E12" s="19"/>
      <c r="F12" s="19"/>
      <c r="G12" s="19"/>
      <c r="H12" s="51"/>
      <c r="I12" s="19"/>
      <c r="J12" s="25"/>
    </row>
    <row r="13" spans="1:10" ht="23.25" customHeight="1">
      <c r="A13" s="12"/>
      <c r="B13" s="12"/>
      <c r="C13" s="6"/>
      <c r="D13" s="12" t="s">
        <v>20</v>
      </c>
      <c r="E13" s="16"/>
      <c r="F13" s="16"/>
      <c r="G13" s="16"/>
      <c r="H13" s="105"/>
      <c r="I13" s="16">
        <f>I11</f>
        <v>1000000</v>
      </c>
      <c r="J13" s="25"/>
    </row>
    <row r="14" spans="1:10" ht="23.25" customHeight="1">
      <c r="A14" s="12" t="s">
        <v>15</v>
      </c>
      <c r="B14" s="12">
        <v>17</v>
      </c>
      <c r="C14" s="6" t="s">
        <v>145</v>
      </c>
      <c r="D14" s="104" t="s">
        <v>146</v>
      </c>
      <c r="E14" s="16"/>
      <c r="F14" s="16"/>
      <c r="G14" s="16"/>
      <c r="H14" s="105">
        <v>500000</v>
      </c>
      <c r="I14" s="16">
        <f>I13+E14-H14</f>
        <v>500000</v>
      </c>
      <c r="J14" s="25"/>
    </row>
    <row r="15" spans="1:10" ht="23.25" customHeight="1">
      <c r="A15" s="12"/>
      <c r="B15" s="12"/>
      <c r="C15" s="6"/>
      <c r="D15" s="104" t="s">
        <v>147</v>
      </c>
      <c r="E15" s="16"/>
      <c r="F15" s="16"/>
      <c r="G15" s="16"/>
      <c r="H15" s="105"/>
      <c r="I15" s="16"/>
      <c r="J15" s="25"/>
    </row>
    <row r="16" spans="1:10" ht="23.25" customHeight="1">
      <c r="A16" s="14"/>
      <c r="B16" s="14"/>
      <c r="C16" s="6" t="s">
        <v>145</v>
      </c>
      <c r="D16" s="104" t="s">
        <v>146</v>
      </c>
      <c r="E16" s="19"/>
      <c r="F16" s="19"/>
      <c r="G16" s="19"/>
      <c r="H16" s="51">
        <v>500000</v>
      </c>
      <c r="I16" s="19">
        <f>I14+E16-H16</f>
        <v>0</v>
      </c>
      <c r="J16" s="25"/>
    </row>
    <row r="17" spans="1:9" ht="23.25">
      <c r="A17" s="6"/>
      <c r="B17" s="6"/>
      <c r="C17" s="6"/>
      <c r="D17" s="104" t="s">
        <v>148</v>
      </c>
      <c r="E17" s="6"/>
      <c r="F17" s="6"/>
      <c r="G17" s="6"/>
      <c r="H17" s="6"/>
      <c r="I17" s="31"/>
    </row>
    <row r="18" spans="1:9" ht="23.25">
      <c r="A18" s="6"/>
      <c r="B18" s="6"/>
      <c r="C18" s="6"/>
      <c r="D18" s="104"/>
      <c r="E18" s="6"/>
      <c r="F18" s="6"/>
      <c r="G18" s="6"/>
      <c r="H18" s="6"/>
      <c r="I18" s="31"/>
    </row>
    <row r="19" spans="1:9" ht="23.25">
      <c r="A19" s="9"/>
      <c r="B19" s="9"/>
      <c r="C19" s="9"/>
      <c r="D19" s="178"/>
      <c r="E19" s="28"/>
      <c r="F19" s="28"/>
      <c r="G19" s="28"/>
      <c r="H19" s="28"/>
      <c r="I19" s="177"/>
    </row>
    <row r="20" spans="1:10" ht="23.25" customHeight="1" thickBot="1">
      <c r="A20" s="12"/>
      <c r="B20" s="12"/>
      <c r="C20" s="6"/>
      <c r="D20" s="12" t="s">
        <v>18</v>
      </c>
      <c r="E20" s="38">
        <f>SUM(E14:E17)</f>
        <v>0</v>
      </c>
      <c r="F20" s="38">
        <f>SUM(F14:F17)</f>
        <v>0</v>
      </c>
      <c r="G20" s="38">
        <f>SUM(G14:G17)</f>
        <v>0</v>
      </c>
      <c r="H20" s="38">
        <f>SUM(H14:H17)</f>
        <v>1000000</v>
      </c>
      <c r="I20" s="38">
        <f>I16</f>
        <v>0</v>
      </c>
      <c r="J20" s="25"/>
    </row>
    <row r="21" spans="1:10" ht="23.25" customHeight="1" thickBot="1" thickTop="1">
      <c r="A21" s="13"/>
      <c r="B21" s="13"/>
      <c r="C21" s="10"/>
      <c r="D21" s="13" t="s">
        <v>19</v>
      </c>
      <c r="E21" s="39">
        <f>E11</f>
        <v>1000000</v>
      </c>
      <c r="F21" s="39">
        <f>F20</f>
        <v>0</v>
      </c>
      <c r="G21" s="39">
        <f>G20</f>
        <v>0</v>
      </c>
      <c r="H21" s="50">
        <f>H20</f>
        <v>1000000</v>
      </c>
      <c r="I21" s="39">
        <f>E21-H21</f>
        <v>0</v>
      </c>
      <c r="J21" s="25"/>
    </row>
    <row r="22" ht="24" thickTop="1"/>
  </sheetData>
  <sheetProtection/>
  <mergeCells count="8">
    <mergeCell ref="A1:H1"/>
    <mergeCell ref="A2:I2"/>
    <mergeCell ref="A3:I3"/>
    <mergeCell ref="A4:I4"/>
    <mergeCell ref="A5:I5"/>
    <mergeCell ref="C6:C7"/>
    <mergeCell ref="D6:D7"/>
    <mergeCell ref="E6:I6"/>
  </mergeCells>
  <printOptions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  <headerFooter alignWithMargins="0">
    <oddFooter>&amp;C&amp;"AngsanaUPC,ตัวปกติ"&amp;14หน้า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5" sqref="D15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28125" style="1" customWidth="1"/>
    <col min="5" max="9" width="14.28125" style="1" customWidth="1"/>
    <col min="10" max="16384" width="9.140625" style="1" customWidth="1"/>
  </cols>
  <sheetData>
    <row r="1" spans="1:9" s="2" customFormat="1" ht="29.25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</row>
    <row r="2" spans="1:14" ht="23.25">
      <c r="A2" s="374" t="s">
        <v>68</v>
      </c>
      <c r="B2" s="374"/>
      <c r="C2" s="374"/>
      <c r="D2" s="374"/>
      <c r="E2" s="374"/>
      <c r="F2" s="374"/>
      <c r="G2" s="374"/>
      <c r="H2" s="374"/>
      <c r="I2" s="374"/>
      <c r="J2" s="175"/>
      <c r="K2" s="175"/>
      <c r="L2" s="175"/>
      <c r="M2" s="175"/>
      <c r="N2" s="175"/>
    </row>
    <row r="3" spans="1:14" ht="23.25">
      <c r="A3" s="377" t="s">
        <v>74</v>
      </c>
      <c r="B3" s="377"/>
      <c r="C3" s="377"/>
      <c r="D3" s="377"/>
      <c r="E3" s="377"/>
      <c r="F3" s="377"/>
      <c r="G3" s="377"/>
      <c r="H3" s="377"/>
      <c r="I3" s="377"/>
      <c r="J3" s="176"/>
      <c r="K3" s="176"/>
      <c r="L3" s="176"/>
      <c r="M3" s="176"/>
      <c r="N3" s="176"/>
    </row>
    <row r="4" spans="1:14" ht="23.25">
      <c r="A4" s="368" t="s">
        <v>69</v>
      </c>
      <c r="B4" s="368"/>
      <c r="C4" s="368"/>
      <c r="D4" s="368"/>
      <c r="E4" s="368"/>
      <c r="F4" s="368"/>
      <c r="G4" s="368"/>
      <c r="H4" s="368"/>
      <c r="I4" s="368"/>
      <c r="J4" s="175"/>
      <c r="K4" s="175"/>
      <c r="L4" s="175"/>
      <c r="M4" s="175"/>
      <c r="N4" s="175"/>
    </row>
    <row r="5" spans="1:14" ht="23.25">
      <c r="A5" s="376" t="s">
        <v>149</v>
      </c>
      <c r="B5" s="376"/>
      <c r="C5" s="376"/>
      <c r="D5" s="376"/>
      <c r="E5" s="376"/>
      <c r="F5" s="376"/>
      <c r="G5" s="376"/>
      <c r="H5" s="376"/>
      <c r="I5" s="376"/>
      <c r="J5" s="176"/>
      <c r="K5" s="176"/>
      <c r="L5" s="176"/>
      <c r="M5" s="176"/>
      <c r="N5" s="176"/>
    </row>
    <row r="6" spans="1:9" s="3" customFormat="1" ht="23.25">
      <c r="A6" s="7" t="s">
        <v>0</v>
      </c>
      <c r="B6" s="4"/>
      <c r="C6" s="378" t="s">
        <v>3</v>
      </c>
      <c r="D6" s="378" t="s">
        <v>4</v>
      </c>
      <c r="E6" s="371" t="s">
        <v>10</v>
      </c>
      <c r="F6" s="372"/>
      <c r="G6" s="372"/>
      <c r="H6" s="372"/>
      <c r="I6" s="373"/>
    </row>
    <row r="7" spans="1:9" s="3" customFormat="1" ht="23.25">
      <c r="A7" s="4" t="s">
        <v>1</v>
      </c>
      <c r="B7" s="4" t="s">
        <v>2</v>
      </c>
      <c r="C7" s="379"/>
      <c r="D7" s="379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</row>
    <row r="8" spans="1:9" ht="23.25">
      <c r="A8" s="11" t="s">
        <v>13</v>
      </c>
      <c r="B8" s="11"/>
      <c r="C8" s="15"/>
      <c r="D8" s="111" t="s">
        <v>20</v>
      </c>
      <c r="E8" s="36">
        <v>2495000</v>
      </c>
      <c r="F8" s="5"/>
      <c r="G8" s="5"/>
      <c r="H8" s="5"/>
      <c r="I8" s="37">
        <f>E8</f>
        <v>2495000</v>
      </c>
    </row>
    <row r="9" spans="1:9" ht="23.25">
      <c r="A9" s="6"/>
      <c r="B9" s="6"/>
      <c r="C9" s="6"/>
      <c r="D9" s="26"/>
      <c r="E9" s="16"/>
      <c r="F9" s="6"/>
      <c r="G9" s="6"/>
      <c r="H9" s="6"/>
      <c r="I9" s="31"/>
    </row>
    <row r="10" spans="1:10" ht="23.25" customHeight="1" thickBot="1">
      <c r="A10" s="12"/>
      <c r="B10" s="12"/>
      <c r="C10" s="6"/>
      <c r="D10" s="12" t="s">
        <v>18</v>
      </c>
      <c r="E10" s="38">
        <f>SUM(E8:E9)</f>
        <v>2495000</v>
      </c>
      <c r="F10" s="38">
        <f>SUM(F8:F9)</f>
        <v>0</v>
      </c>
      <c r="G10" s="38">
        <f>SUM(G8:G9)</f>
        <v>0</v>
      </c>
      <c r="H10" s="49">
        <f>SUM(H8:H9)</f>
        <v>0</v>
      </c>
      <c r="I10" s="38">
        <f>I8</f>
        <v>2495000</v>
      </c>
      <c r="J10" s="25"/>
    </row>
    <row r="11" spans="1:10" ht="23.25" customHeight="1" thickBot="1" thickTop="1">
      <c r="A11" s="12"/>
      <c r="B11" s="12"/>
      <c r="C11" s="6"/>
      <c r="D11" s="12" t="s">
        <v>19</v>
      </c>
      <c r="E11" s="39">
        <f>E10</f>
        <v>2495000</v>
      </c>
      <c r="F11" s="39">
        <f>F10</f>
        <v>0</v>
      </c>
      <c r="G11" s="39">
        <f>G10</f>
        <v>0</v>
      </c>
      <c r="H11" s="50">
        <f>H10</f>
        <v>0</v>
      </c>
      <c r="I11" s="39">
        <f>I10</f>
        <v>2495000</v>
      </c>
      <c r="J11" s="25"/>
    </row>
    <row r="12" spans="1:10" ht="23.25" customHeight="1" thickTop="1">
      <c r="A12" s="43"/>
      <c r="B12" s="43"/>
      <c r="C12" s="44"/>
      <c r="D12" s="43"/>
      <c r="E12" s="19"/>
      <c r="F12" s="19"/>
      <c r="G12" s="19"/>
      <c r="H12" s="51"/>
      <c r="I12" s="19"/>
      <c r="J12" s="25"/>
    </row>
    <row r="13" spans="1:10" ht="23.25" customHeight="1">
      <c r="A13" s="12"/>
      <c r="B13" s="12"/>
      <c r="C13" s="6"/>
      <c r="D13" s="12" t="s">
        <v>20</v>
      </c>
      <c r="E13" s="16"/>
      <c r="F13" s="16"/>
      <c r="G13" s="16"/>
      <c r="H13" s="105"/>
      <c r="I13" s="16">
        <f>I11</f>
        <v>2495000</v>
      </c>
      <c r="J13" s="25"/>
    </row>
    <row r="14" spans="1:10" ht="23.25" customHeight="1">
      <c r="A14" s="12" t="s">
        <v>15</v>
      </c>
      <c r="B14" s="12">
        <v>17</v>
      </c>
      <c r="C14" s="6" t="s">
        <v>150</v>
      </c>
      <c r="D14" s="104" t="s">
        <v>151</v>
      </c>
      <c r="E14" s="16"/>
      <c r="F14" s="16"/>
      <c r="G14" s="16"/>
      <c r="H14" s="105">
        <v>2495000</v>
      </c>
      <c r="I14" s="16">
        <f>I13+E14-H14</f>
        <v>0</v>
      </c>
      <c r="J14" s="25"/>
    </row>
    <row r="15" spans="1:10" ht="23.25" customHeight="1">
      <c r="A15" s="12"/>
      <c r="B15" s="12"/>
      <c r="C15" s="6"/>
      <c r="D15" s="104" t="s">
        <v>152</v>
      </c>
      <c r="E15" s="16"/>
      <c r="F15" s="16"/>
      <c r="G15" s="16"/>
      <c r="H15" s="105"/>
      <c r="I15" s="16"/>
      <c r="J15" s="25"/>
    </row>
    <row r="16" spans="1:9" ht="23.25">
      <c r="A16" s="9"/>
      <c r="B16" s="9"/>
      <c r="C16" s="9"/>
      <c r="D16" s="178"/>
      <c r="E16" s="28"/>
      <c r="F16" s="28"/>
      <c r="G16" s="28"/>
      <c r="H16" s="28"/>
      <c r="I16" s="177"/>
    </row>
    <row r="17" spans="1:10" ht="23.25" customHeight="1" thickBot="1">
      <c r="A17" s="12"/>
      <c r="B17" s="12"/>
      <c r="C17" s="6"/>
      <c r="D17" s="12" t="s">
        <v>18</v>
      </c>
      <c r="E17" s="38">
        <f>SUM(E14:E15)</f>
        <v>0</v>
      </c>
      <c r="F17" s="38">
        <f>SUM(F14:F15)</f>
        <v>0</v>
      </c>
      <c r="G17" s="38">
        <f>SUM(G14:G15)</f>
        <v>0</v>
      </c>
      <c r="H17" s="38">
        <f>SUM(H14:H15)</f>
        <v>2495000</v>
      </c>
      <c r="I17" s="38">
        <f>I14</f>
        <v>0</v>
      </c>
      <c r="J17" s="25"/>
    </row>
    <row r="18" spans="1:10" ht="23.25" customHeight="1" thickBot="1" thickTop="1">
      <c r="A18" s="12"/>
      <c r="B18" s="12"/>
      <c r="C18" s="6"/>
      <c r="D18" s="12" t="s">
        <v>19</v>
      </c>
      <c r="E18" s="39">
        <f>E11</f>
        <v>2495000</v>
      </c>
      <c r="F18" s="39">
        <f>F17</f>
        <v>0</v>
      </c>
      <c r="G18" s="39">
        <f>G17</f>
        <v>0</v>
      </c>
      <c r="H18" s="50">
        <f>H17</f>
        <v>2495000</v>
      </c>
      <c r="I18" s="39">
        <f>E18-H18</f>
        <v>0</v>
      </c>
      <c r="J18" s="25"/>
    </row>
    <row r="19" spans="1:9" ht="24" thickTop="1">
      <c r="A19" s="44"/>
      <c r="B19" s="44"/>
      <c r="C19" s="44"/>
      <c r="E19" s="180"/>
      <c r="F19" s="180"/>
      <c r="G19" s="180"/>
      <c r="H19" s="180"/>
      <c r="I19" s="180"/>
    </row>
    <row r="20" spans="1:9" ht="23.25">
      <c r="A20" s="6"/>
      <c r="B20" s="6"/>
      <c r="C20" s="6"/>
      <c r="D20" s="125"/>
      <c r="E20" s="6"/>
      <c r="F20" s="6"/>
      <c r="G20" s="6"/>
      <c r="H20" s="6"/>
      <c r="I20" s="6"/>
    </row>
    <row r="21" spans="1:9" ht="23.25">
      <c r="A21" s="10"/>
      <c r="B21" s="10"/>
      <c r="C21" s="10"/>
      <c r="D21" s="179"/>
      <c r="E21" s="10"/>
      <c r="F21" s="10"/>
      <c r="G21" s="10"/>
      <c r="H21" s="10"/>
      <c r="I21" s="10"/>
    </row>
  </sheetData>
  <sheetProtection/>
  <mergeCells count="8">
    <mergeCell ref="A1:H1"/>
    <mergeCell ref="A2:I2"/>
    <mergeCell ref="A3:I3"/>
    <mergeCell ref="A4:I4"/>
    <mergeCell ref="A5:I5"/>
    <mergeCell ref="C6:C7"/>
    <mergeCell ref="D6:D7"/>
    <mergeCell ref="E6:I6"/>
  </mergeCells>
  <printOptions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  <headerFooter alignWithMargins="0">
    <oddFooter>&amp;C&amp;"AngsanaUPC,ตัวปกติ"&amp;14หน้า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pane xSplit="4" ySplit="7" topLeftCell="E7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87" sqref="C87"/>
    </sheetView>
  </sheetViews>
  <sheetFormatPr defaultColWidth="9.140625" defaultRowHeight="12.75"/>
  <cols>
    <col min="1" max="1" width="10.00390625" style="3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6384" width="9.140625" style="1" customWidth="1"/>
  </cols>
  <sheetData>
    <row r="1" spans="1:9" ht="29.25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</row>
    <row r="2" spans="1:14" ht="23.25">
      <c r="A2" s="374" t="s">
        <v>38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ht="23.25">
      <c r="A3" s="375" t="s">
        <v>39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74" t="s">
        <v>115</v>
      </c>
      <c r="B4" s="374"/>
      <c r="C4" s="374"/>
      <c r="D4" s="374"/>
      <c r="E4" s="374"/>
      <c r="F4" s="374"/>
      <c r="G4" s="374"/>
      <c r="H4" s="374"/>
      <c r="I4" s="374"/>
      <c r="J4" s="33"/>
      <c r="K4" s="33"/>
      <c r="L4" s="33"/>
      <c r="M4" s="33"/>
      <c r="N4" s="33"/>
    </row>
    <row r="5" spans="1:14" ht="23.25">
      <c r="A5" s="376" t="s">
        <v>119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9" ht="23.25">
      <c r="A6" s="7" t="s">
        <v>0</v>
      </c>
      <c r="B6" s="4"/>
      <c r="C6" s="370" t="s">
        <v>3</v>
      </c>
      <c r="D6" s="370" t="s">
        <v>4</v>
      </c>
      <c r="E6" s="371" t="s">
        <v>10</v>
      </c>
      <c r="F6" s="372"/>
      <c r="G6" s="372"/>
      <c r="H6" s="372"/>
      <c r="I6" s="373"/>
    </row>
    <row r="7" spans="1:9" ht="23.25">
      <c r="A7" s="4" t="s">
        <v>1</v>
      </c>
      <c r="B7" s="4" t="s">
        <v>2</v>
      </c>
      <c r="C7" s="370"/>
      <c r="D7" s="370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</row>
    <row r="8" spans="1:9" ht="23.25">
      <c r="A8" s="27" t="s">
        <v>13</v>
      </c>
      <c r="B8" s="27">
        <v>20</v>
      </c>
      <c r="C8" s="26" t="s">
        <v>41</v>
      </c>
      <c r="D8" s="28" t="s">
        <v>50</v>
      </c>
      <c r="E8" s="19">
        <v>143364</v>
      </c>
      <c r="F8" s="19"/>
      <c r="G8" s="19"/>
      <c r="H8" s="19"/>
      <c r="I8" s="19">
        <f>E8</f>
        <v>143364</v>
      </c>
    </row>
    <row r="9" spans="1:9" ht="23.25" customHeight="1">
      <c r="A9" s="12"/>
      <c r="B9" s="12"/>
      <c r="C9" s="6" t="s">
        <v>116</v>
      </c>
      <c r="D9" s="6" t="s">
        <v>117</v>
      </c>
      <c r="E9" s="16">
        <v>14604</v>
      </c>
      <c r="F9" s="16"/>
      <c r="G9" s="16"/>
      <c r="H9" s="16"/>
      <c r="I9" s="16">
        <f>I8+E9-H9</f>
        <v>157968</v>
      </c>
    </row>
    <row r="10" spans="1:9" ht="23.25">
      <c r="A10" s="72"/>
      <c r="B10" s="72"/>
      <c r="C10" s="164"/>
      <c r="D10" s="73"/>
      <c r="E10" s="75"/>
      <c r="F10" s="75"/>
      <c r="G10" s="75"/>
      <c r="H10" s="75"/>
      <c r="I10" s="75"/>
    </row>
    <row r="11" spans="1:9" ht="24" thickBot="1">
      <c r="A11" s="12"/>
      <c r="B11" s="12"/>
      <c r="C11" s="6"/>
      <c r="D11" s="12" t="s">
        <v>21</v>
      </c>
      <c r="E11" s="38">
        <f>SUM(E7:E9)</f>
        <v>157968</v>
      </c>
      <c r="F11" s="38">
        <f>SUM(F7:F9)</f>
        <v>0</v>
      </c>
      <c r="G11" s="38">
        <f>SUM(G7:G9)</f>
        <v>0</v>
      </c>
      <c r="H11" s="38">
        <f>SUM(H10:H10)</f>
        <v>0</v>
      </c>
      <c r="I11" s="38">
        <f>E11-H11</f>
        <v>157968</v>
      </c>
    </row>
    <row r="12" spans="1:9" ht="24.75" thickBot="1" thickTop="1">
      <c r="A12" s="22"/>
      <c r="B12" s="12"/>
      <c r="C12" s="6"/>
      <c r="D12" s="12" t="s">
        <v>19</v>
      </c>
      <c r="E12" s="39">
        <f>E11</f>
        <v>157968</v>
      </c>
      <c r="F12" s="39">
        <f>F11</f>
        <v>0</v>
      </c>
      <c r="G12" s="39">
        <f>G11</f>
        <v>0</v>
      </c>
      <c r="H12" s="39">
        <f>H11</f>
        <v>0</v>
      </c>
      <c r="I12" s="39">
        <f>I11</f>
        <v>157968</v>
      </c>
    </row>
    <row r="13" spans="1:9" ht="24" thickTop="1">
      <c r="A13" s="74"/>
      <c r="B13" s="72"/>
      <c r="C13" s="73"/>
      <c r="D13" s="72"/>
      <c r="E13" s="75"/>
      <c r="F13" s="75"/>
      <c r="G13" s="75"/>
      <c r="H13" s="75"/>
      <c r="I13" s="75"/>
    </row>
    <row r="14" spans="1:9" ht="23.25">
      <c r="A14" s="22"/>
      <c r="B14" s="12"/>
      <c r="C14" s="6"/>
      <c r="D14" s="22" t="s">
        <v>20</v>
      </c>
      <c r="E14" s="16"/>
      <c r="F14" s="16"/>
      <c r="G14" s="16"/>
      <c r="H14" s="16"/>
      <c r="I14" s="16">
        <f>I12</f>
        <v>157968</v>
      </c>
    </row>
    <row r="15" spans="1:9" ht="23.25">
      <c r="A15" s="22" t="s">
        <v>15</v>
      </c>
      <c r="B15" s="12">
        <v>17</v>
      </c>
      <c r="C15" s="97" t="s">
        <v>129</v>
      </c>
      <c r="D15" s="6" t="s">
        <v>130</v>
      </c>
      <c r="E15" s="16"/>
      <c r="F15" s="16"/>
      <c r="G15" s="16"/>
      <c r="H15" s="16">
        <v>11977</v>
      </c>
      <c r="I15" s="16">
        <f>I14+E15-H15</f>
        <v>145991</v>
      </c>
    </row>
    <row r="16" spans="1:9" ht="23.25">
      <c r="A16" s="22"/>
      <c r="B16" s="12"/>
      <c r="C16" s="97" t="s">
        <v>131</v>
      </c>
      <c r="D16" s="6" t="s">
        <v>132</v>
      </c>
      <c r="E16" s="16"/>
      <c r="F16" s="16"/>
      <c r="G16" s="16"/>
      <c r="H16" s="16">
        <v>11884</v>
      </c>
      <c r="I16" s="16">
        <f>I15+E16-H16</f>
        <v>134107</v>
      </c>
    </row>
    <row r="17" spans="1:9" ht="23.25" customHeight="1">
      <c r="A17" s="22"/>
      <c r="B17" s="12"/>
      <c r="C17" s="97"/>
      <c r="D17" s="6"/>
      <c r="E17" s="16"/>
      <c r="F17" s="16"/>
      <c r="G17" s="16"/>
      <c r="H17" s="16"/>
      <c r="I17" s="16"/>
    </row>
    <row r="18" spans="1:9" ht="24" thickBot="1">
      <c r="A18" s="12"/>
      <c r="B18" s="12"/>
      <c r="C18" s="6"/>
      <c r="D18" s="12" t="s">
        <v>21</v>
      </c>
      <c r="E18" s="38">
        <f>SUM(E15:E16)</f>
        <v>0</v>
      </c>
      <c r="F18" s="38">
        <f>SUM(F12:F16)</f>
        <v>0</v>
      </c>
      <c r="G18" s="38">
        <f>SUM(G12:G16)</f>
        <v>0</v>
      </c>
      <c r="H18" s="38">
        <f>SUM(H15:H17)</f>
        <v>23861</v>
      </c>
      <c r="I18" s="38">
        <f>I16</f>
        <v>134107</v>
      </c>
    </row>
    <row r="19" spans="1:9" ht="24.75" thickBot="1" thickTop="1">
      <c r="A19" s="22"/>
      <c r="B19" s="12"/>
      <c r="C19" s="6"/>
      <c r="D19" s="12" t="s">
        <v>19</v>
      </c>
      <c r="E19" s="39">
        <f>E12+E18</f>
        <v>157968</v>
      </c>
      <c r="F19" s="39">
        <f>F18</f>
        <v>0</v>
      </c>
      <c r="G19" s="39">
        <f>G18</f>
        <v>0</v>
      </c>
      <c r="H19" s="39">
        <f>H12+H18</f>
        <v>23861</v>
      </c>
      <c r="I19" s="39">
        <f>E19-H19</f>
        <v>134107</v>
      </c>
    </row>
    <row r="20" spans="1:9" ht="24" thickTop="1">
      <c r="A20" s="23"/>
      <c r="B20" s="14"/>
      <c r="C20" s="9"/>
      <c r="D20" s="14"/>
      <c r="E20" s="18"/>
      <c r="F20" s="18"/>
      <c r="G20" s="18"/>
      <c r="H20" s="18"/>
      <c r="I20" s="18"/>
    </row>
    <row r="21" spans="1:9" ht="23.25">
      <c r="A21" s="98"/>
      <c r="B21" s="99"/>
      <c r="C21" s="100"/>
      <c r="D21" s="99"/>
      <c r="E21" s="101"/>
      <c r="F21" s="101"/>
      <c r="G21" s="101"/>
      <c r="H21" s="101"/>
      <c r="I21" s="101"/>
    </row>
    <row r="22" spans="1:9" ht="23.25">
      <c r="A22" s="23"/>
      <c r="B22" s="14"/>
      <c r="C22" s="9"/>
      <c r="D22" s="14" t="s">
        <v>20</v>
      </c>
      <c r="E22" s="18"/>
      <c r="F22" s="18"/>
      <c r="G22" s="18"/>
      <c r="H22" s="18"/>
      <c r="I22" s="18">
        <f>I19</f>
        <v>134107</v>
      </c>
    </row>
    <row r="23" spans="1:9" s="53" customFormat="1" ht="23.25">
      <c r="A23" s="22" t="s">
        <v>22</v>
      </c>
      <c r="B23" s="12">
        <v>16</v>
      </c>
      <c r="C23" s="6" t="s">
        <v>159</v>
      </c>
      <c r="D23" s="6" t="s">
        <v>160</v>
      </c>
      <c r="E23" s="16"/>
      <c r="F23" s="16"/>
      <c r="G23" s="16"/>
      <c r="H23" s="16">
        <v>23955</v>
      </c>
      <c r="I23" s="16">
        <f>I22-H23</f>
        <v>110152</v>
      </c>
    </row>
    <row r="24" spans="1:9" s="53" customFormat="1" ht="23.25">
      <c r="A24" s="22"/>
      <c r="B24" s="12"/>
      <c r="C24" s="6"/>
      <c r="D24" s="20"/>
      <c r="E24" s="16"/>
      <c r="F24" s="16"/>
      <c r="G24" s="16"/>
      <c r="H24" s="16"/>
      <c r="I24" s="16"/>
    </row>
    <row r="25" spans="1:9" s="53" customFormat="1" ht="24" thickBot="1">
      <c r="A25" s="12"/>
      <c r="B25" s="12"/>
      <c r="C25" s="6"/>
      <c r="D25" s="12" t="s">
        <v>21</v>
      </c>
      <c r="E25" s="38">
        <f>SUM(E23:E24)</f>
        <v>0</v>
      </c>
      <c r="F25" s="38">
        <f>SUM(F22:F24)</f>
        <v>0</v>
      </c>
      <c r="G25" s="38">
        <f>SUM(G22:G24)</f>
        <v>0</v>
      </c>
      <c r="H25" s="38">
        <f>SUM(H23:H24)</f>
        <v>23955</v>
      </c>
      <c r="I25" s="38">
        <f>I23</f>
        <v>110152</v>
      </c>
    </row>
    <row r="26" spans="1:9" s="53" customFormat="1" ht="24.75" thickBot="1" thickTop="1">
      <c r="A26" s="22"/>
      <c r="B26" s="12"/>
      <c r="C26" s="6"/>
      <c r="D26" s="12" t="s">
        <v>19</v>
      </c>
      <c r="E26" s="39">
        <f>E19+E25</f>
        <v>157968</v>
      </c>
      <c r="F26" s="39">
        <f>F19+F25</f>
        <v>0</v>
      </c>
      <c r="G26" s="39">
        <f>G19+G25</f>
        <v>0</v>
      </c>
      <c r="H26" s="39">
        <f>H19+H25</f>
        <v>47816</v>
      </c>
      <c r="I26" s="39">
        <f>E26-H26</f>
        <v>110152</v>
      </c>
    </row>
    <row r="27" spans="1:9" s="53" customFormat="1" ht="24" thickTop="1">
      <c r="A27" s="74"/>
      <c r="B27" s="72"/>
      <c r="C27" s="73"/>
      <c r="D27" s="80"/>
      <c r="E27" s="75"/>
      <c r="F27" s="75"/>
      <c r="G27" s="75"/>
      <c r="H27" s="75"/>
      <c r="I27" s="75"/>
    </row>
    <row r="28" spans="1:9" ht="23.25">
      <c r="A28" s="22"/>
      <c r="B28" s="12"/>
      <c r="C28" s="6"/>
      <c r="D28" s="12" t="s">
        <v>20</v>
      </c>
      <c r="E28" s="16"/>
      <c r="F28" s="16"/>
      <c r="G28" s="16"/>
      <c r="H28" s="16"/>
      <c r="I28" s="16">
        <f>I26</f>
        <v>110152</v>
      </c>
    </row>
    <row r="29" spans="1:9" ht="23.25">
      <c r="A29" s="22" t="s">
        <v>23</v>
      </c>
      <c r="B29" s="12">
        <v>14</v>
      </c>
      <c r="C29" s="6" t="s">
        <v>185</v>
      </c>
      <c r="D29" s="6" t="s">
        <v>186</v>
      </c>
      <c r="E29" s="16"/>
      <c r="F29" s="16"/>
      <c r="G29" s="16"/>
      <c r="H29" s="16">
        <v>25269</v>
      </c>
      <c r="I29" s="16">
        <f>I28-H29</f>
        <v>84883</v>
      </c>
    </row>
    <row r="30" spans="1:9" ht="23.25">
      <c r="A30" s="22"/>
      <c r="B30" s="12"/>
      <c r="C30" s="6" t="s">
        <v>187</v>
      </c>
      <c r="D30" s="6" t="s">
        <v>160</v>
      </c>
      <c r="E30" s="16"/>
      <c r="F30" s="16"/>
      <c r="G30" s="16"/>
      <c r="H30" s="16">
        <v>1086</v>
      </c>
      <c r="I30" s="16">
        <f>I29+E30-H30</f>
        <v>83797</v>
      </c>
    </row>
    <row r="31" spans="1:9" ht="23.25">
      <c r="A31" s="22"/>
      <c r="B31" s="12"/>
      <c r="C31" s="6" t="s">
        <v>193</v>
      </c>
      <c r="D31" s="6" t="s">
        <v>194</v>
      </c>
      <c r="E31" s="16"/>
      <c r="F31" s="16"/>
      <c r="G31" s="16"/>
      <c r="H31" s="16">
        <v>14604</v>
      </c>
      <c r="I31" s="16">
        <f>I30+E31-H31</f>
        <v>69193</v>
      </c>
    </row>
    <row r="32" spans="1:9" ht="23.25">
      <c r="A32" s="22"/>
      <c r="B32" s="12"/>
      <c r="C32" s="6"/>
      <c r="D32" s="20"/>
      <c r="E32" s="16"/>
      <c r="F32" s="16"/>
      <c r="G32" s="16"/>
      <c r="H32" s="16"/>
      <c r="I32" s="16"/>
    </row>
    <row r="33" spans="1:9" ht="24" thickBot="1">
      <c r="A33" s="12"/>
      <c r="B33" s="12"/>
      <c r="C33" s="6"/>
      <c r="D33" s="12" t="s">
        <v>21</v>
      </c>
      <c r="E33" s="38">
        <f>SUM(E29:E32)</f>
        <v>0</v>
      </c>
      <c r="F33" s="38">
        <f>SUM(F29:F32)</f>
        <v>0</v>
      </c>
      <c r="G33" s="38">
        <f>SUM(G29:G32)</f>
        <v>0</v>
      </c>
      <c r="H33" s="38">
        <f>SUM(H29:H32)</f>
        <v>40959</v>
      </c>
      <c r="I33" s="38">
        <f>I31</f>
        <v>69193</v>
      </c>
    </row>
    <row r="34" spans="1:9" ht="24.75" thickBot="1" thickTop="1">
      <c r="A34" s="22"/>
      <c r="B34" s="12"/>
      <c r="C34" s="6"/>
      <c r="D34" s="12" t="s">
        <v>19</v>
      </c>
      <c r="E34" s="39">
        <f>E26+E33</f>
        <v>157968</v>
      </c>
      <c r="F34" s="39">
        <f>F26+F33</f>
        <v>0</v>
      </c>
      <c r="G34" s="39">
        <f>G26+G33</f>
        <v>0</v>
      </c>
      <c r="H34" s="39">
        <f>H26+H33</f>
        <v>88775</v>
      </c>
      <c r="I34" s="39">
        <f>E34-H34</f>
        <v>69193</v>
      </c>
    </row>
    <row r="35" spans="1:9" ht="24" thickTop="1">
      <c r="A35" s="98"/>
      <c r="B35" s="99"/>
      <c r="C35" s="100"/>
      <c r="D35" s="99"/>
      <c r="E35" s="101"/>
      <c r="F35" s="101"/>
      <c r="G35" s="101"/>
      <c r="H35" s="101"/>
      <c r="I35" s="101"/>
    </row>
    <row r="36" spans="1:9" ht="23.25">
      <c r="A36" s="23"/>
      <c r="B36" s="14"/>
      <c r="C36" s="9"/>
      <c r="D36" s="14" t="s">
        <v>20</v>
      </c>
      <c r="E36" s="18"/>
      <c r="F36" s="18"/>
      <c r="G36" s="18"/>
      <c r="H36" s="18"/>
      <c r="I36" s="18">
        <f>I33</f>
        <v>69193</v>
      </c>
    </row>
    <row r="37" spans="1:9" ht="23.25">
      <c r="A37" s="22" t="s">
        <v>24</v>
      </c>
      <c r="B37" s="12">
        <v>17</v>
      </c>
      <c r="C37" s="6" t="s">
        <v>200</v>
      </c>
      <c r="D37" s="6" t="s">
        <v>201</v>
      </c>
      <c r="E37" s="16"/>
      <c r="F37" s="16"/>
      <c r="G37" s="16"/>
      <c r="H37" s="16">
        <v>25181</v>
      </c>
      <c r="I37" s="16">
        <f>I36-H37</f>
        <v>44012</v>
      </c>
    </row>
    <row r="38" spans="1:9" ht="23.25">
      <c r="A38" s="22"/>
      <c r="B38" s="12"/>
      <c r="C38" s="6"/>
      <c r="D38" s="20"/>
      <c r="E38" s="16"/>
      <c r="F38" s="16"/>
      <c r="G38" s="16"/>
      <c r="H38" s="16"/>
      <c r="I38" s="16"/>
    </row>
    <row r="39" spans="1:9" ht="24" thickBot="1">
      <c r="A39" s="12"/>
      <c r="B39" s="12"/>
      <c r="C39" s="6"/>
      <c r="D39" s="12" t="s">
        <v>21</v>
      </c>
      <c r="E39" s="38">
        <f>SUM(E38:E38)</f>
        <v>0</v>
      </c>
      <c r="F39" s="38">
        <f>SUM(F38:F38)</f>
        <v>0</v>
      </c>
      <c r="G39" s="38">
        <f>SUM(G38:G38)</f>
        <v>0</v>
      </c>
      <c r="H39" s="38">
        <f>SUM(H37:H37)</f>
        <v>25181</v>
      </c>
      <c r="I39" s="38">
        <f>I37</f>
        <v>44012</v>
      </c>
    </row>
    <row r="40" spans="1:9" ht="24.75" thickBot="1" thickTop="1">
      <c r="A40" s="22"/>
      <c r="B40" s="12"/>
      <c r="C40" s="6"/>
      <c r="D40" s="12" t="s">
        <v>19</v>
      </c>
      <c r="E40" s="39">
        <f>E34+E39</f>
        <v>157968</v>
      </c>
      <c r="F40" s="39">
        <f>F34+F39</f>
        <v>0</v>
      </c>
      <c r="G40" s="39">
        <f>G34+G39</f>
        <v>0</v>
      </c>
      <c r="H40" s="39">
        <f>H34+H39</f>
        <v>113956</v>
      </c>
      <c r="I40" s="39">
        <f>I39</f>
        <v>44012</v>
      </c>
    </row>
    <row r="41" spans="1:9" s="53" customFormat="1" ht="24" thickTop="1">
      <c r="A41" s="85"/>
      <c r="B41" s="86"/>
      <c r="C41" s="87"/>
      <c r="D41" s="86"/>
      <c r="E41" s="81"/>
      <c r="F41" s="81"/>
      <c r="G41" s="81"/>
      <c r="H41" s="81"/>
      <c r="I41" s="81"/>
    </row>
    <row r="42" spans="1:9" ht="23.25">
      <c r="A42" s="23"/>
      <c r="B42" s="14"/>
      <c r="C42" s="9"/>
      <c r="D42" s="14" t="s">
        <v>20</v>
      </c>
      <c r="E42" s="18"/>
      <c r="F42" s="18"/>
      <c r="G42" s="18"/>
      <c r="H42" s="18"/>
      <c r="I42" s="18">
        <f>I40</f>
        <v>44012</v>
      </c>
    </row>
    <row r="43" spans="1:9" ht="23.25">
      <c r="A43" s="22" t="s">
        <v>25</v>
      </c>
      <c r="B43" s="14">
        <v>15</v>
      </c>
      <c r="C43" s="6" t="s">
        <v>216</v>
      </c>
      <c r="D43" s="6" t="s">
        <v>217</v>
      </c>
      <c r="E43" s="18"/>
      <c r="F43" s="18"/>
      <c r="G43" s="18"/>
      <c r="H43" s="18">
        <v>24519</v>
      </c>
      <c r="I43" s="16">
        <f>I42-H43</f>
        <v>19493</v>
      </c>
    </row>
    <row r="44" spans="1:9" ht="23.25">
      <c r="A44" s="22"/>
      <c r="B44" s="12"/>
      <c r="C44" s="6"/>
      <c r="D44" s="20"/>
      <c r="E44" s="16"/>
      <c r="F44" s="16"/>
      <c r="G44" s="16"/>
      <c r="H44" s="16"/>
      <c r="I44" s="16"/>
    </row>
    <row r="45" spans="1:9" ht="24" thickBot="1">
      <c r="A45" s="12"/>
      <c r="B45" s="12"/>
      <c r="C45" s="6"/>
      <c r="D45" s="12" t="s">
        <v>21</v>
      </c>
      <c r="E45" s="38">
        <f>SUM(E43:E44)</f>
        <v>0</v>
      </c>
      <c r="F45" s="38">
        <f>SUM(F43:F44)</f>
        <v>0</v>
      </c>
      <c r="G45" s="38">
        <f>SUM(G43:G44)</f>
        <v>0</v>
      </c>
      <c r="H45" s="38">
        <f>SUM(H43:H44)</f>
        <v>24519</v>
      </c>
      <c r="I45" s="38">
        <f>I43</f>
        <v>19493</v>
      </c>
    </row>
    <row r="46" spans="1:9" ht="24.75" thickBot="1" thickTop="1">
      <c r="A46" s="22"/>
      <c r="B46" s="12"/>
      <c r="C46" s="6"/>
      <c r="D46" s="12" t="s">
        <v>19</v>
      </c>
      <c r="E46" s="39">
        <f>E40+E45</f>
        <v>157968</v>
      </c>
      <c r="F46" s="39">
        <f>F40+F45</f>
        <v>0</v>
      </c>
      <c r="G46" s="39">
        <f>G40+G45</f>
        <v>0</v>
      </c>
      <c r="H46" s="39">
        <f>H40+H45</f>
        <v>138475</v>
      </c>
      <c r="I46" s="39">
        <f>E46-H46</f>
        <v>19493</v>
      </c>
    </row>
    <row r="47" spans="1:9" ht="24" thickTop="1">
      <c r="A47" s="114"/>
      <c r="B47" s="27"/>
      <c r="C47" s="28"/>
      <c r="D47" s="27"/>
      <c r="E47" s="19"/>
      <c r="F47" s="19"/>
      <c r="G47" s="19"/>
      <c r="H47" s="19"/>
      <c r="I47" s="19"/>
    </row>
    <row r="48" spans="1:9" ht="23.25">
      <c r="A48" s="22"/>
      <c r="B48" s="12"/>
      <c r="C48" s="6"/>
      <c r="D48" s="12"/>
      <c r="E48" s="16"/>
      <c r="F48" s="16"/>
      <c r="G48" s="16"/>
      <c r="H48" s="16"/>
      <c r="I48" s="16"/>
    </row>
    <row r="49" spans="1:9" ht="23.25">
      <c r="A49" s="32"/>
      <c r="B49" s="13"/>
      <c r="C49" s="10"/>
      <c r="D49" s="13"/>
      <c r="E49" s="17"/>
      <c r="F49" s="17"/>
      <c r="G49" s="17"/>
      <c r="H49" s="17"/>
      <c r="I49" s="17"/>
    </row>
    <row r="50" spans="1:9" s="208" customFormat="1" ht="23.25">
      <c r="A50" s="203"/>
      <c r="B50" s="204"/>
      <c r="C50" s="205"/>
      <c r="D50" s="204" t="s">
        <v>20</v>
      </c>
      <c r="E50" s="206"/>
      <c r="F50" s="206"/>
      <c r="G50" s="206"/>
      <c r="H50" s="206"/>
      <c r="I50" s="206">
        <f>I46</f>
        <v>19493</v>
      </c>
    </row>
    <row r="51" spans="1:9" s="208" customFormat="1" ht="23.25">
      <c r="A51" s="203" t="s">
        <v>27</v>
      </c>
      <c r="B51" s="204">
        <v>10</v>
      </c>
      <c r="C51" s="322" t="s">
        <v>286</v>
      </c>
      <c r="D51" s="217" t="s">
        <v>50</v>
      </c>
      <c r="E51" s="218">
        <v>70327</v>
      </c>
      <c r="F51" s="218"/>
      <c r="G51" s="218"/>
      <c r="H51" s="218"/>
      <c r="I51" s="218">
        <f>I50+E51-H51</f>
        <v>89820</v>
      </c>
    </row>
    <row r="52" spans="1:9" s="208" customFormat="1" ht="23.25">
      <c r="A52" s="212"/>
      <c r="B52" s="209"/>
      <c r="C52" s="210" t="s">
        <v>287</v>
      </c>
      <c r="D52" s="210" t="s">
        <v>67</v>
      </c>
      <c r="E52" s="211" t="s">
        <v>67</v>
      </c>
      <c r="F52" s="211"/>
      <c r="G52" s="211"/>
      <c r="H52" s="211"/>
      <c r="I52" s="211" t="s">
        <v>67</v>
      </c>
    </row>
    <row r="53" spans="1:9" s="53" customFormat="1" ht="23.25">
      <c r="A53" s="74"/>
      <c r="B53" s="72"/>
      <c r="C53" s="6" t="s">
        <v>288</v>
      </c>
      <c r="D53" s="6" t="s">
        <v>289</v>
      </c>
      <c r="E53" s="18"/>
      <c r="F53" s="18"/>
      <c r="G53" s="18"/>
      <c r="H53" s="18">
        <v>23769</v>
      </c>
      <c r="I53" s="16">
        <f>I51+E53-H53</f>
        <v>66051</v>
      </c>
    </row>
    <row r="54" spans="1:9" s="53" customFormat="1" ht="23.25">
      <c r="A54" s="74"/>
      <c r="B54" s="72"/>
      <c r="C54" s="6" t="s">
        <v>290</v>
      </c>
      <c r="D54" s="6" t="s">
        <v>291</v>
      </c>
      <c r="E54" s="18"/>
      <c r="F54" s="18"/>
      <c r="G54" s="18"/>
      <c r="H54" s="18">
        <v>4910</v>
      </c>
      <c r="I54" s="16">
        <f>I53+E54-H54</f>
        <v>61141</v>
      </c>
    </row>
    <row r="55" spans="1:9" s="53" customFormat="1" ht="23.25">
      <c r="A55" s="85"/>
      <c r="B55" s="86"/>
      <c r="C55" s="6" t="s">
        <v>292</v>
      </c>
      <c r="D55" s="6" t="s">
        <v>293</v>
      </c>
      <c r="E55" s="18"/>
      <c r="F55" s="18"/>
      <c r="G55" s="18"/>
      <c r="H55" s="18">
        <v>2130</v>
      </c>
      <c r="I55" s="16">
        <f>I54+E55-H55</f>
        <v>59011</v>
      </c>
    </row>
    <row r="56" spans="1:9" s="53" customFormat="1" ht="23.25">
      <c r="A56" s="85"/>
      <c r="B56" s="86"/>
      <c r="C56" s="9"/>
      <c r="D56" s="9"/>
      <c r="E56" s="19"/>
      <c r="F56" s="19"/>
      <c r="G56" s="19"/>
      <c r="H56" s="19"/>
      <c r="I56" s="19"/>
    </row>
    <row r="57" spans="1:9" s="208" customFormat="1" ht="24" thickBot="1">
      <c r="A57" s="209"/>
      <c r="B57" s="209"/>
      <c r="C57" s="210"/>
      <c r="D57" s="209" t="s">
        <v>21</v>
      </c>
      <c r="E57" s="214">
        <f>SUM(E51:E52)</f>
        <v>70327</v>
      </c>
      <c r="F57" s="214">
        <f>SUM(F51:F52)</f>
        <v>0</v>
      </c>
      <c r="G57" s="214">
        <f>SUM(G51:G52)</f>
        <v>0</v>
      </c>
      <c r="H57" s="214">
        <f>SUM(H53:H55)</f>
        <v>30809</v>
      </c>
      <c r="I57" s="214">
        <f>I55</f>
        <v>59011</v>
      </c>
    </row>
    <row r="58" spans="1:9" s="208" customFormat="1" ht="24.75" thickBot="1" thickTop="1">
      <c r="A58" s="212"/>
      <c r="B58" s="209"/>
      <c r="C58" s="210"/>
      <c r="D58" s="209" t="s">
        <v>19</v>
      </c>
      <c r="E58" s="215">
        <f>E46+E57</f>
        <v>228295</v>
      </c>
      <c r="F58" s="215">
        <f>F46+F57</f>
        <v>0</v>
      </c>
      <c r="G58" s="215">
        <f>G46+G57</f>
        <v>0</v>
      </c>
      <c r="H58" s="215">
        <f>H46+H57</f>
        <v>169284</v>
      </c>
      <c r="I58" s="215">
        <f>E58-H58</f>
        <v>59011</v>
      </c>
    </row>
    <row r="59" spans="1:9" s="53" customFormat="1" ht="24" thickTop="1">
      <c r="A59" s="90"/>
      <c r="B59" s="91"/>
      <c r="C59" s="92"/>
      <c r="D59" s="91"/>
      <c r="E59" s="79"/>
      <c r="F59" s="79"/>
      <c r="G59" s="79"/>
      <c r="H59" s="79"/>
      <c r="I59" s="79"/>
    </row>
    <row r="60" spans="1:9" s="53" customFormat="1" ht="23.25">
      <c r="A60" s="74"/>
      <c r="B60" s="72"/>
      <c r="C60" s="73"/>
      <c r="D60" s="6"/>
      <c r="E60" s="75"/>
      <c r="F60" s="75"/>
      <c r="G60" s="75"/>
      <c r="H60" s="75"/>
      <c r="I60" s="75"/>
    </row>
    <row r="61" spans="1:9" s="53" customFormat="1" ht="23.25">
      <c r="A61" s="74"/>
      <c r="B61" s="72"/>
      <c r="C61" s="73"/>
      <c r="D61" s="72"/>
      <c r="E61" s="75"/>
      <c r="F61" s="75"/>
      <c r="G61" s="75"/>
      <c r="H61" s="75"/>
      <c r="I61" s="75"/>
    </row>
    <row r="62" spans="1:9" s="53" customFormat="1" ht="23.25">
      <c r="A62" s="74"/>
      <c r="B62" s="72"/>
      <c r="C62" s="73"/>
      <c r="D62" s="72"/>
      <c r="E62" s="75"/>
      <c r="F62" s="75"/>
      <c r="G62" s="75"/>
      <c r="H62" s="75"/>
      <c r="I62" s="75"/>
    </row>
    <row r="63" spans="1:9" s="53" customFormat="1" ht="23.25">
      <c r="A63" s="84"/>
      <c r="B63" s="82"/>
      <c r="C63" s="83"/>
      <c r="D63" s="82"/>
      <c r="E63" s="93"/>
      <c r="F63" s="93"/>
      <c r="G63" s="93"/>
      <c r="H63" s="93"/>
      <c r="I63" s="93"/>
    </row>
    <row r="64" spans="1:9" ht="23.25">
      <c r="A64" s="23"/>
      <c r="B64" s="14"/>
      <c r="C64" s="9"/>
      <c r="D64" s="14" t="s">
        <v>20</v>
      </c>
      <c r="E64" s="18"/>
      <c r="F64" s="18"/>
      <c r="G64" s="18"/>
      <c r="H64" s="18"/>
      <c r="I64" s="18">
        <f>I57</f>
        <v>59011</v>
      </c>
    </row>
    <row r="65" spans="1:9" ht="23.25">
      <c r="A65" s="22" t="s">
        <v>28</v>
      </c>
      <c r="B65" s="12">
        <v>16</v>
      </c>
      <c r="C65" s="6" t="s">
        <v>339</v>
      </c>
      <c r="D65" s="6" t="s">
        <v>379</v>
      </c>
      <c r="E65" s="16"/>
      <c r="F65" s="16"/>
      <c r="G65" s="16"/>
      <c r="H65" s="16">
        <v>4893</v>
      </c>
      <c r="I65" s="16">
        <f>I64-H65</f>
        <v>54118</v>
      </c>
    </row>
    <row r="66" spans="1:9" ht="23.25">
      <c r="A66" s="22"/>
      <c r="B66" s="12"/>
      <c r="C66" s="6"/>
      <c r="D66" s="20"/>
      <c r="E66" s="16"/>
      <c r="F66" s="16"/>
      <c r="G66" s="16"/>
      <c r="H66" s="16"/>
      <c r="I66" s="16"/>
    </row>
    <row r="67" spans="1:9" ht="24" thickBot="1">
      <c r="A67" s="12"/>
      <c r="B67" s="12"/>
      <c r="C67" s="6"/>
      <c r="D67" s="12" t="s">
        <v>21</v>
      </c>
      <c r="E67" s="36">
        <f>SUM(E65:E66)</f>
        <v>0</v>
      </c>
      <c r="F67" s="36">
        <f>SUM(F65:F66)</f>
        <v>0</v>
      </c>
      <c r="G67" s="36">
        <f>SUM(G65:G66)</f>
        <v>0</v>
      </c>
      <c r="H67" s="36">
        <f>SUM(H65:H66)</f>
        <v>4893</v>
      </c>
      <c r="I67" s="36">
        <f>I65</f>
        <v>54118</v>
      </c>
    </row>
    <row r="68" spans="1:9" ht="24.75" thickBot="1" thickTop="1">
      <c r="A68" s="22"/>
      <c r="B68" s="12"/>
      <c r="C68" s="6"/>
      <c r="D68" s="12" t="s">
        <v>19</v>
      </c>
      <c r="E68" s="39">
        <f>E58+E67</f>
        <v>228295</v>
      </c>
      <c r="F68" s="39">
        <f>F58+F67</f>
        <v>0</v>
      </c>
      <c r="G68" s="39">
        <f>G58+G67</f>
        <v>0</v>
      </c>
      <c r="H68" s="39">
        <f>H58+H67</f>
        <v>174177</v>
      </c>
      <c r="I68" s="39">
        <f>E68-H68</f>
        <v>54118</v>
      </c>
    </row>
    <row r="69" spans="1:9" ht="24" thickTop="1">
      <c r="A69" s="114"/>
      <c r="B69" s="27"/>
      <c r="C69" s="28"/>
      <c r="D69" s="27"/>
      <c r="E69" s="19"/>
      <c r="F69" s="19"/>
      <c r="G69" s="19"/>
      <c r="H69" s="19"/>
      <c r="I69" s="19"/>
    </row>
    <row r="70" spans="1:9" ht="23.25">
      <c r="A70" s="22"/>
      <c r="B70" s="12"/>
      <c r="C70" s="6"/>
      <c r="D70" s="12" t="s">
        <v>20</v>
      </c>
      <c r="E70" s="16"/>
      <c r="F70" s="16"/>
      <c r="G70" s="16"/>
      <c r="H70" s="16"/>
      <c r="I70" s="16">
        <f>I68</f>
        <v>54118</v>
      </c>
    </row>
    <row r="71" spans="1:9" ht="23.25">
      <c r="A71" s="22" t="s">
        <v>29</v>
      </c>
      <c r="B71" s="12">
        <v>16</v>
      </c>
      <c r="C71" s="6" t="s">
        <v>378</v>
      </c>
      <c r="D71" s="6" t="s">
        <v>380</v>
      </c>
      <c r="E71" s="16"/>
      <c r="F71" s="16"/>
      <c r="G71" s="16"/>
      <c r="H71" s="16">
        <v>4893</v>
      </c>
      <c r="I71" s="16">
        <f>I70-H71</f>
        <v>49225</v>
      </c>
    </row>
    <row r="72" spans="1:9" ht="23.25">
      <c r="A72" s="22"/>
      <c r="B72" s="12"/>
      <c r="C72" s="6"/>
      <c r="D72" s="20"/>
      <c r="E72" s="16"/>
      <c r="F72" s="16"/>
      <c r="G72" s="16"/>
      <c r="H72" s="16"/>
      <c r="I72" s="16"/>
    </row>
    <row r="73" spans="1:9" ht="24" thickBot="1">
      <c r="A73" s="12"/>
      <c r="B73" s="12"/>
      <c r="C73" s="6"/>
      <c r="D73" s="12" t="s">
        <v>21</v>
      </c>
      <c r="E73" s="38">
        <f>SUM(E71:E72)</f>
        <v>0</v>
      </c>
      <c r="F73" s="38">
        <f>SUM(F71:F72)</f>
        <v>0</v>
      </c>
      <c r="G73" s="38">
        <f>SUM(G71:G72)</f>
        <v>0</v>
      </c>
      <c r="H73" s="38">
        <f>SUM(H71:H72)</f>
        <v>4893</v>
      </c>
      <c r="I73" s="38">
        <f>I71</f>
        <v>49225</v>
      </c>
    </row>
    <row r="74" spans="1:9" ht="24.75" thickBot="1" thickTop="1">
      <c r="A74" s="22"/>
      <c r="B74" s="12"/>
      <c r="C74" s="6"/>
      <c r="D74" s="12" t="s">
        <v>19</v>
      </c>
      <c r="E74" s="39">
        <f>E68+E73</f>
        <v>228295</v>
      </c>
      <c r="F74" s="39">
        <f>F68+F73</f>
        <v>0</v>
      </c>
      <c r="G74" s="39">
        <f>G68+G73</f>
        <v>0</v>
      </c>
      <c r="H74" s="39">
        <f>H68+H73</f>
        <v>179070</v>
      </c>
      <c r="I74" s="39">
        <f>E74-H74</f>
        <v>49225</v>
      </c>
    </row>
    <row r="75" spans="1:9" s="53" customFormat="1" ht="24" thickTop="1">
      <c r="A75" s="165"/>
      <c r="B75" s="77"/>
      <c r="C75" s="95"/>
      <c r="D75" s="77"/>
      <c r="E75" s="79"/>
      <c r="F75" s="79"/>
      <c r="G75" s="79"/>
      <c r="H75" s="79"/>
      <c r="I75" s="79"/>
    </row>
    <row r="76" spans="1:9" s="53" customFormat="1" ht="23.25">
      <c r="A76" s="74"/>
      <c r="B76" s="72"/>
      <c r="C76" s="73"/>
      <c r="D76" s="72"/>
      <c r="E76" s="75"/>
      <c r="F76" s="75"/>
      <c r="G76" s="75"/>
      <c r="H76" s="75"/>
      <c r="I76" s="75"/>
    </row>
    <row r="77" spans="1:9" s="53" customFormat="1" ht="23.25">
      <c r="A77" s="84"/>
      <c r="B77" s="82"/>
      <c r="C77" s="83"/>
      <c r="D77" s="82"/>
      <c r="E77" s="93"/>
      <c r="F77" s="93"/>
      <c r="G77" s="93"/>
      <c r="H77" s="93"/>
      <c r="I77" s="93"/>
    </row>
    <row r="78" spans="1:9" s="53" customFormat="1" ht="23.25">
      <c r="A78" s="14"/>
      <c r="B78" s="14"/>
      <c r="C78" s="9"/>
      <c r="D78" s="14" t="s">
        <v>20</v>
      </c>
      <c r="E78" s="18"/>
      <c r="F78" s="18"/>
      <c r="G78" s="18"/>
      <c r="H78" s="18"/>
      <c r="I78" s="18">
        <f>I74</f>
        <v>49225</v>
      </c>
    </row>
    <row r="79" spans="1:9" s="53" customFormat="1" ht="23.25">
      <c r="A79" s="22" t="s">
        <v>30</v>
      </c>
      <c r="B79" s="12">
        <v>17</v>
      </c>
      <c r="C79" s="6" t="s">
        <v>403</v>
      </c>
      <c r="D79" s="6" t="s">
        <v>402</v>
      </c>
      <c r="E79" s="16"/>
      <c r="F79" s="16"/>
      <c r="G79" s="16"/>
      <c r="H79" s="16">
        <v>24466</v>
      </c>
      <c r="I79" s="16">
        <f>I78-H79</f>
        <v>24759</v>
      </c>
    </row>
    <row r="80" spans="1:9" s="53" customFormat="1" ht="23.25">
      <c r="A80" s="22"/>
      <c r="B80" s="12"/>
      <c r="C80" s="6"/>
      <c r="D80" s="20"/>
      <c r="E80" s="16"/>
      <c r="F80" s="16"/>
      <c r="G80" s="16"/>
      <c r="H80" s="16"/>
      <c r="I80" s="16"/>
    </row>
    <row r="81" spans="1:9" s="53" customFormat="1" ht="24" thickBot="1">
      <c r="A81" s="12"/>
      <c r="B81" s="12"/>
      <c r="C81" s="6"/>
      <c r="D81" s="12" t="s">
        <v>21</v>
      </c>
      <c r="E81" s="38">
        <f>SUM(E79:E80)</f>
        <v>0</v>
      </c>
      <c r="F81" s="38">
        <f>SUM(F79:F80)</f>
        <v>0</v>
      </c>
      <c r="G81" s="38">
        <f>SUM(G79:G80)</f>
        <v>0</v>
      </c>
      <c r="H81" s="38">
        <f>SUM(H79:H80)</f>
        <v>24466</v>
      </c>
      <c r="I81" s="38">
        <f>I79</f>
        <v>24759</v>
      </c>
    </row>
    <row r="82" spans="1:9" s="53" customFormat="1" ht="24.75" thickBot="1" thickTop="1">
      <c r="A82" s="22"/>
      <c r="B82" s="12"/>
      <c r="C82" s="6"/>
      <c r="D82" s="12" t="s">
        <v>19</v>
      </c>
      <c r="E82" s="39">
        <f>E74+E81</f>
        <v>228295</v>
      </c>
      <c r="F82" s="39">
        <f>F74+F81</f>
        <v>0</v>
      </c>
      <c r="G82" s="39">
        <f>G74+G81</f>
        <v>0</v>
      </c>
      <c r="H82" s="39">
        <f>H74+H81</f>
        <v>203536</v>
      </c>
      <c r="I82" s="39">
        <f>E82-H82</f>
        <v>24759</v>
      </c>
    </row>
    <row r="83" spans="1:9" ht="24" thickTop="1">
      <c r="A83" s="22"/>
      <c r="B83" s="12"/>
      <c r="C83" s="6"/>
      <c r="D83" s="12" t="s">
        <v>20</v>
      </c>
      <c r="E83" s="16"/>
      <c r="F83" s="16"/>
      <c r="G83" s="16"/>
      <c r="H83" s="16"/>
      <c r="I83" s="16">
        <f>I81</f>
        <v>24759</v>
      </c>
    </row>
    <row r="84" spans="1:9" ht="23.25">
      <c r="A84" s="23" t="s">
        <v>31</v>
      </c>
      <c r="B84" s="14">
        <v>10</v>
      </c>
      <c r="C84" s="26" t="s">
        <v>286</v>
      </c>
      <c r="D84" s="28" t="s">
        <v>50</v>
      </c>
      <c r="E84" s="19">
        <v>24458</v>
      </c>
      <c r="F84" s="19"/>
      <c r="G84" s="19"/>
      <c r="H84" s="19"/>
      <c r="I84" s="19">
        <f>I83+E84-H84</f>
        <v>49217</v>
      </c>
    </row>
    <row r="85" spans="1:11" ht="23.25">
      <c r="A85" s="22"/>
      <c r="B85" s="12"/>
      <c r="C85" s="6" t="s">
        <v>287</v>
      </c>
      <c r="D85" s="6" t="s">
        <v>67</v>
      </c>
      <c r="E85" s="16" t="s">
        <v>67</v>
      </c>
      <c r="F85" s="16"/>
      <c r="G85" s="16"/>
      <c r="H85" s="16"/>
      <c r="I85" s="16" t="s">
        <v>67</v>
      </c>
      <c r="K85" s="1">
        <v>24458</v>
      </c>
    </row>
    <row r="86" spans="1:11" ht="23.25">
      <c r="A86" s="363"/>
      <c r="B86" s="12">
        <v>18</v>
      </c>
      <c r="C86" s="6" t="s">
        <v>428</v>
      </c>
      <c r="D86" s="6" t="s">
        <v>418</v>
      </c>
      <c r="E86" s="16"/>
      <c r="F86" s="16"/>
      <c r="G86" s="16"/>
      <c r="H86" s="16">
        <v>25966</v>
      </c>
      <c r="I86" s="16">
        <f>I84+E86-H86</f>
        <v>23251</v>
      </c>
      <c r="K86" s="1">
        <v>2175</v>
      </c>
    </row>
    <row r="87" spans="1:11" ht="23.25">
      <c r="A87" s="363"/>
      <c r="B87" s="12"/>
      <c r="C87" s="6" t="s">
        <v>429</v>
      </c>
      <c r="D87" s="6" t="s">
        <v>402</v>
      </c>
      <c r="E87" s="16"/>
      <c r="F87" s="16"/>
      <c r="G87" s="16"/>
      <c r="H87" s="16">
        <v>968</v>
      </c>
      <c r="I87" s="16">
        <f>I86+E87-F87-G87-H87</f>
        <v>22283</v>
      </c>
      <c r="K87" s="1">
        <f>K85-K86</f>
        <v>22283</v>
      </c>
    </row>
    <row r="88" spans="1:9" ht="23.25">
      <c r="A88" s="363"/>
      <c r="B88" s="12"/>
      <c r="C88" s="6"/>
      <c r="D88" s="20" t="s">
        <v>93</v>
      </c>
      <c r="E88" s="16">
        <v>-22283</v>
      </c>
      <c r="F88" s="16"/>
      <c r="G88" s="16"/>
      <c r="H88" s="16"/>
      <c r="I88" s="16">
        <f>I87+E88-F88-G88-H88</f>
        <v>0</v>
      </c>
    </row>
    <row r="89" spans="1:9" s="53" customFormat="1" ht="23.25">
      <c r="A89" s="74"/>
      <c r="B89" s="72"/>
      <c r="C89" s="73"/>
      <c r="D89" s="80"/>
      <c r="E89" s="75"/>
      <c r="F89" s="75"/>
      <c r="G89" s="75"/>
      <c r="H89" s="75"/>
      <c r="I89" s="75"/>
    </row>
    <row r="90" spans="1:9" ht="24" thickBot="1">
      <c r="A90" s="12"/>
      <c r="B90" s="12"/>
      <c r="C90" s="6"/>
      <c r="D90" s="12" t="s">
        <v>21</v>
      </c>
      <c r="E90" s="38">
        <f>SUM(E84:E89)</f>
        <v>2175</v>
      </c>
      <c r="F90" s="38">
        <f>SUM(F84:F89)</f>
        <v>0</v>
      </c>
      <c r="G90" s="38">
        <f>SUM(G84:G89)</f>
        <v>0</v>
      </c>
      <c r="H90" s="38">
        <f>SUM(H84:H89)</f>
        <v>26934</v>
      </c>
      <c r="I90" s="38">
        <f>I88</f>
        <v>0</v>
      </c>
    </row>
    <row r="91" spans="1:9" ht="24.75" thickBot="1" thickTop="1">
      <c r="A91" s="32"/>
      <c r="B91" s="13"/>
      <c r="C91" s="10"/>
      <c r="D91" s="13" t="s">
        <v>19</v>
      </c>
      <c r="E91" s="39">
        <f>E82+E90</f>
        <v>230470</v>
      </c>
      <c r="F91" s="39">
        <f>F82+F90</f>
        <v>0</v>
      </c>
      <c r="G91" s="39">
        <f>G82+G90</f>
        <v>0</v>
      </c>
      <c r="H91" s="39">
        <f>H82+H90</f>
        <v>230470</v>
      </c>
      <c r="I91" s="39">
        <f>E91-H91</f>
        <v>0</v>
      </c>
    </row>
    <row r="92" ht="24" thickTop="1"/>
  </sheetData>
  <sheetProtection/>
  <mergeCells count="8">
    <mergeCell ref="A1:H1"/>
    <mergeCell ref="A2:I2"/>
    <mergeCell ref="A3:I3"/>
    <mergeCell ref="C6:C7"/>
    <mergeCell ref="D6:D7"/>
    <mergeCell ref="E6:I6"/>
    <mergeCell ref="A4:I4"/>
    <mergeCell ref="A5:I5"/>
  </mergeCells>
  <printOptions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  <headerFooter alignWithMargins="0">
    <oddFooter>&amp;C&amp;"AngsanaUPC,ตัวปกติ"&amp;14หน้า &amp;P</oddFooter>
  </headerFooter>
  <ignoredErrors>
    <ignoredError sqref="H19:I19" formula="1"/>
    <ignoredError sqref="C15:C1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28">
      <selection activeCell="D43" sqref="D43"/>
    </sheetView>
  </sheetViews>
  <sheetFormatPr defaultColWidth="9.140625" defaultRowHeight="23.25" customHeight="1"/>
  <cols>
    <col min="1" max="1" width="10.00390625" style="1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0" width="13.140625" style="25" customWidth="1"/>
    <col min="11" max="16384" width="9.140625" style="1" customWidth="1"/>
  </cols>
  <sheetData>
    <row r="1" spans="1:10" s="2" customFormat="1" ht="27.7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74" t="s">
        <v>38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ht="23.25">
      <c r="A3" s="375" t="s">
        <v>39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74" t="s">
        <v>118</v>
      </c>
      <c r="B4" s="374"/>
      <c r="C4" s="374"/>
      <c r="D4" s="374"/>
      <c r="E4" s="374"/>
      <c r="F4" s="374"/>
      <c r="G4" s="374"/>
      <c r="H4" s="374"/>
      <c r="I4" s="374"/>
      <c r="J4" s="33"/>
      <c r="K4" s="33"/>
      <c r="L4" s="33"/>
      <c r="M4" s="33"/>
      <c r="N4" s="33"/>
    </row>
    <row r="5" spans="1:14" ht="23.25">
      <c r="A5" s="376" t="s">
        <v>134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10" s="30" customFormat="1" ht="23.25" customHeight="1">
      <c r="A6" s="7" t="s">
        <v>0</v>
      </c>
      <c r="B6" s="4"/>
      <c r="C6" s="370" t="s">
        <v>3</v>
      </c>
      <c r="D6" s="370" t="s">
        <v>4</v>
      </c>
      <c r="E6" s="371" t="s">
        <v>10</v>
      </c>
      <c r="F6" s="372"/>
      <c r="G6" s="372"/>
      <c r="H6" s="372"/>
      <c r="I6" s="373"/>
      <c r="J6" s="29"/>
    </row>
    <row r="7" spans="1:10" s="30" customFormat="1" ht="23.25" customHeight="1">
      <c r="A7" s="4" t="s">
        <v>1</v>
      </c>
      <c r="B7" s="4" t="s">
        <v>2</v>
      </c>
      <c r="C7" s="370"/>
      <c r="D7" s="370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29"/>
    </row>
    <row r="8" spans="1:9" ht="23.25" customHeight="1">
      <c r="A8" s="27" t="s">
        <v>13</v>
      </c>
      <c r="B8" s="27">
        <v>20</v>
      </c>
      <c r="C8" s="26" t="s">
        <v>41</v>
      </c>
      <c r="D8" s="26" t="s">
        <v>40</v>
      </c>
      <c r="E8" s="19">
        <v>5000</v>
      </c>
      <c r="F8" s="19"/>
      <c r="G8" s="19"/>
      <c r="H8" s="19"/>
      <c r="I8" s="19">
        <f>E8</f>
        <v>5000</v>
      </c>
    </row>
    <row r="9" spans="1:9" ht="23.25" customHeight="1">
      <c r="A9" s="12"/>
      <c r="B9" s="12"/>
      <c r="C9" s="6" t="s">
        <v>116</v>
      </c>
      <c r="D9" s="20"/>
      <c r="E9" s="16"/>
      <c r="F9" s="16"/>
      <c r="G9" s="16"/>
      <c r="H9" s="16"/>
      <c r="I9" s="16"/>
    </row>
    <row r="10" spans="1:9" ht="23.25" customHeight="1" thickBot="1">
      <c r="A10" s="12"/>
      <c r="B10" s="12"/>
      <c r="C10" s="6"/>
      <c r="D10" s="22" t="s">
        <v>18</v>
      </c>
      <c r="E10" s="38">
        <f>SUM(E8:E9)</f>
        <v>5000</v>
      </c>
      <c r="F10" s="38">
        <f>SUM(F8:F9)</f>
        <v>0</v>
      </c>
      <c r="G10" s="38">
        <f>SUM(G8:G9)</f>
        <v>0</v>
      </c>
      <c r="H10" s="38">
        <f>SUM(H8:H9)</f>
        <v>0</v>
      </c>
      <c r="I10" s="38">
        <f>SUM(I8:I9)</f>
        <v>5000</v>
      </c>
    </row>
    <row r="11" spans="1:9" ht="23.25" customHeight="1" thickBot="1" thickTop="1">
      <c r="A11" s="12"/>
      <c r="B11" s="12"/>
      <c r="C11" s="6"/>
      <c r="D11" s="22" t="s">
        <v>19</v>
      </c>
      <c r="E11" s="39">
        <f>E8</f>
        <v>5000</v>
      </c>
      <c r="F11" s="39">
        <f>F8</f>
        <v>0</v>
      </c>
      <c r="G11" s="39">
        <f>G8</f>
        <v>0</v>
      </c>
      <c r="H11" s="39">
        <f>H8</f>
        <v>0</v>
      </c>
      <c r="I11" s="39">
        <f>I8</f>
        <v>5000</v>
      </c>
    </row>
    <row r="12" spans="1:9" ht="23.25" customHeight="1" thickTop="1">
      <c r="A12" s="12"/>
      <c r="B12" s="12"/>
      <c r="C12" s="6"/>
      <c r="D12" s="22"/>
      <c r="E12" s="18"/>
      <c r="F12" s="18"/>
      <c r="G12" s="18"/>
      <c r="H12" s="18"/>
      <c r="I12" s="18"/>
    </row>
    <row r="13" spans="1:9" ht="23.25" customHeight="1">
      <c r="A13" s="12"/>
      <c r="B13" s="12"/>
      <c r="C13" s="6"/>
      <c r="D13" s="22" t="s">
        <v>20</v>
      </c>
      <c r="E13" s="16"/>
      <c r="F13" s="16"/>
      <c r="G13" s="16"/>
      <c r="H13" s="16"/>
      <c r="I13" s="16">
        <f>I11</f>
        <v>5000</v>
      </c>
    </row>
    <row r="14" spans="1:9" ht="23.25" customHeight="1">
      <c r="A14" s="27" t="s">
        <v>15</v>
      </c>
      <c r="B14" s="27">
        <v>17</v>
      </c>
      <c r="C14" s="173" t="s">
        <v>54</v>
      </c>
      <c r="D14" s="26" t="s">
        <v>133</v>
      </c>
      <c r="E14" s="19"/>
      <c r="F14" s="19"/>
      <c r="G14" s="19"/>
      <c r="H14" s="19">
        <v>5000</v>
      </c>
      <c r="I14" s="19">
        <f>I13-H14</f>
        <v>0</v>
      </c>
    </row>
    <row r="15" spans="1:9" ht="23.25" customHeight="1">
      <c r="A15" s="12"/>
      <c r="B15" s="12"/>
      <c r="C15" s="20"/>
      <c r="D15" s="20"/>
      <c r="E15" s="16"/>
      <c r="F15" s="16"/>
      <c r="G15" s="16"/>
      <c r="H15" s="16"/>
      <c r="I15" s="16"/>
    </row>
    <row r="16" spans="1:9" ht="23.25" customHeight="1" thickBot="1">
      <c r="A16" s="12"/>
      <c r="B16" s="12"/>
      <c r="C16" s="6"/>
      <c r="D16" s="22" t="s">
        <v>18</v>
      </c>
      <c r="E16" s="38">
        <f>SUM(E14:E15)</f>
        <v>0</v>
      </c>
      <c r="F16" s="38">
        <f>SUM(F14:F15)</f>
        <v>0</v>
      </c>
      <c r="G16" s="38">
        <f>SUM(G14:G15)</f>
        <v>0</v>
      </c>
      <c r="H16" s="38">
        <f>SUM(H14:H15)</f>
        <v>5000</v>
      </c>
      <c r="I16" s="38">
        <f>I14</f>
        <v>0</v>
      </c>
    </row>
    <row r="17" spans="1:9" ht="23.25" customHeight="1" thickBot="1" thickTop="1">
      <c r="A17" s="12"/>
      <c r="B17" s="12"/>
      <c r="C17" s="6"/>
      <c r="D17" s="22" t="s">
        <v>19</v>
      </c>
      <c r="E17" s="174">
        <f>E16+E11</f>
        <v>5000</v>
      </c>
      <c r="F17" s="174">
        <f>F16+F11</f>
        <v>0</v>
      </c>
      <c r="G17" s="174">
        <f>G16+G11</f>
        <v>0</v>
      </c>
      <c r="H17" s="174">
        <f>H16+H11</f>
        <v>5000</v>
      </c>
      <c r="I17" s="174">
        <f>E17-H17</f>
        <v>0</v>
      </c>
    </row>
    <row r="18" spans="1:10" s="53" customFormat="1" ht="23.25" customHeight="1" thickTop="1">
      <c r="A18" s="91"/>
      <c r="B18" s="91"/>
      <c r="C18" s="92"/>
      <c r="D18" s="90"/>
      <c r="E18" s="79"/>
      <c r="F18" s="79"/>
      <c r="G18" s="79"/>
      <c r="H18" s="79"/>
      <c r="I18" s="79"/>
      <c r="J18" s="76"/>
    </row>
    <row r="19" spans="1:10" s="53" customFormat="1" ht="23.25" customHeight="1">
      <c r="A19" s="74"/>
      <c r="B19" s="72"/>
      <c r="C19" s="73"/>
      <c r="D19" s="74"/>
      <c r="E19" s="75"/>
      <c r="F19" s="75"/>
      <c r="G19" s="75"/>
      <c r="H19" s="75"/>
      <c r="I19" s="75"/>
      <c r="J19" s="76"/>
    </row>
    <row r="20" spans="1:10" s="53" customFormat="1" ht="23.25" customHeight="1">
      <c r="A20" s="74"/>
      <c r="B20" s="72"/>
      <c r="C20" s="73"/>
      <c r="D20" s="74"/>
      <c r="E20" s="81"/>
      <c r="F20" s="81"/>
      <c r="G20" s="81"/>
      <c r="H20" s="81"/>
      <c r="I20" s="81"/>
      <c r="J20" s="76"/>
    </row>
    <row r="21" spans="1:10" s="53" customFormat="1" ht="23.25" customHeight="1">
      <c r="A21" s="84"/>
      <c r="B21" s="82"/>
      <c r="C21" s="83"/>
      <c r="D21" s="84"/>
      <c r="E21" s="93"/>
      <c r="F21" s="93"/>
      <c r="G21" s="93"/>
      <c r="H21" s="93"/>
      <c r="I21" s="93"/>
      <c r="J21" s="76"/>
    </row>
    <row r="22" spans="1:10" s="208" customFormat="1" ht="23.25" customHeight="1">
      <c r="A22" s="203"/>
      <c r="B22" s="204"/>
      <c r="C22" s="205"/>
      <c r="D22" s="203" t="s">
        <v>20</v>
      </c>
      <c r="E22" s="206"/>
      <c r="F22" s="206"/>
      <c r="G22" s="206"/>
      <c r="H22" s="206"/>
      <c r="I22" s="206">
        <f>I17</f>
        <v>0</v>
      </c>
      <c r="J22" s="207"/>
    </row>
    <row r="23" spans="1:10" s="208" customFormat="1" ht="23.25" customHeight="1">
      <c r="A23" s="216" t="s">
        <v>27</v>
      </c>
      <c r="B23" s="216">
        <v>10</v>
      </c>
      <c r="C23" s="322" t="s">
        <v>286</v>
      </c>
      <c r="D23" s="322" t="s">
        <v>40</v>
      </c>
      <c r="E23" s="218">
        <v>17500</v>
      </c>
      <c r="F23" s="218"/>
      <c r="G23" s="218"/>
      <c r="H23" s="218"/>
      <c r="I23" s="218">
        <f>E23</f>
        <v>17500</v>
      </c>
      <c r="J23" s="207"/>
    </row>
    <row r="24" spans="1:10" s="208" customFormat="1" ht="23.25" customHeight="1">
      <c r="A24" s="209"/>
      <c r="B24" s="209"/>
      <c r="C24" s="210" t="s">
        <v>287</v>
      </c>
      <c r="D24" s="213"/>
      <c r="E24" s="211"/>
      <c r="F24" s="211"/>
      <c r="G24" s="211"/>
      <c r="H24" s="211"/>
      <c r="I24" s="211"/>
      <c r="J24" s="207"/>
    </row>
    <row r="25" spans="1:10" s="208" customFormat="1" ht="23.25" customHeight="1">
      <c r="A25" s="209"/>
      <c r="B25" s="216">
        <v>18</v>
      </c>
      <c r="C25" s="324" t="s">
        <v>301</v>
      </c>
      <c r="D25" s="322" t="s">
        <v>342</v>
      </c>
      <c r="E25" s="218"/>
      <c r="F25" s="218"/>
      <c r="G25" s="218"/>
      <c r="H25" s="218">
        <v>12500</v>
      </c>
      <c r="I25" s="218">
        <f>I23-H25</f>
        <v>5000</v>
      </c>
      <c r="J25" s="207"/>
    </row>
    <row r="26" spans="1:10" s="208" customFormat="1" ht="23.25" customHeight="1">
      <c r="A26" s="212"/>
      <c r="B26" s="209"/>
      <c r="C26" s="210"/>
      <c r="D26" s="213"/>
      <c r="E26" s="211"/>
      <c r="F26" s="211"/>
      <c r="G26" s="211"/>
      <c r="H26" s="211"/>
      <c r="I26" s="211"/>
      <c r="J26" s="207"/>
    </row>
    <row r="27" spans="1:10" s="208" customFormat="1" ht="23.25" customHeight="1" thickBot="1">
      <c r="A27" s="209"/>
      <c r="B27" s="209"/>
      <c r="C27" s="210"/>
      <c r="D27" s="212" t="s">
        <v>18</v>
      </c>
      <c r="E27" s="214">
        <f>SUM(E23:E26)</f>
        <v>17500</v>
      </c>
      <c r="F27" s="214">
        <f>SUM(F23:F26)</f>
        <v>0</v>
      </c>
      <c r="G27" s="214">
        <f>SUM(G23:G26)</f>
        <v>0</v>
      </c>
      <c r="H27" s="214">
        <f>SUM(H23:H26)</f>
        <v>12500</v>
      </c>
      <c r="I27" s="214">
        <f>I24</f>
        <v>0</v>
      </c>
      <c r="J27" s="207"/>
    </row>
    <row r="28" spans="1:10" s="208" customFormat="1" ht="23.25" customHeight="1" thickBot="1" thickTop="1">
      <c r="A28" s="209"/>
      <c r="B28" s="209"/>
      <c r="C28" s="210"/>
      <c r="D28" s="212" t="s">
        <v>19</v>
      </c>
      <c r="E28" s="325">
        <f>E27+E17</f>
        <v>22500</v>
      </c>
      <c r="F28" s="325">
        <f>F27+F17</f>
        <v>0</v>
      </c>
      <c r="G28" s="325">
        <f>G27+G17</f>
        <v>0</v>
      </c>
      <c r="H28" s="325">
        <f>H27+H17</f>
        <v>17500</v>
      </c>
      <c r="I28" s="325">
        <f>E28-H28</f>
        <v>5000</v>
      </c>
      <c r="J28" s="207"/>
    </row>
    <row r="29" spans="1:10" s="208" customFormat="1" ht="23.25" customHeight="1" thickTop="1">
      <c r="A29" s="204"/>
      <c r="B29" s="204"/>
      <c r="C29" s="205"/>
      <c r="D29" s="203"/>
      <c r="E29" s="206"/>
      <c r="F29" s="206"/>
      <c r="G29" s="206"/>
      <c r="H29" s="206"/>
      <c r="I29" s="206"/>
      <c r="J29" s="207"/>
    </row>
    <row r="30" spans="1:9" ht="23.25" customHeight="1">
      <c r="A30" s="23"/>
      <c r="B30" s="14"/>
      <c r="C30" s="9"/>
      <c r="D30" s="23" t="s">
        <v>20</v>
      </c>
      <c r="E30" s="18"/>
      <c r="F30" s="18"/>
      <c r="G30" s="18"/>
      <c r="H30" s="18"/>
      <c r="I30" s="18">
        <f>I28</f>
        <v>5000</v>
      </c>
    </row>
    <row r="31" spans="1:9" ht="23.25" customHeight="1">
      <c r="A31" s="22" t="s">
        <v>28</v>
      </c>
      <c r="B31" s="27">
        <v>16</v>
      </c>
      <c r="C31" s="26" t="s">
        <v>344</v>
      </c>
      <c r="D31" s="26" t="s">
        <v>343</v>
      </c>
      <c r="E31" s="19"/>
      <c r="F31" s="19"/>
      <c r="G31" s="19"/>
      <c r="H31" s="19">
        <v>2500</v>
      </c>
      <c r="I31" s="19">
        <f>I30+E31-H31</f>
        <v>2500</v>
      </c>
    </row>
    <row r="32" spans="1:9" ht="23.25" customHeight="1">
      <c r="A32" s="22"/>
      <c r="B32" s="12"/>
      <c r="C32" s="6"/>
      <c r="D32" s="20"/>
      <c r="E32" s="16"/>
      <c r="F32" s="16"/>
      <c r="G32" s="16"/>
      <c r="H32" s="16"/>
      <c r="I32" s="16"/>
    </row>
    <row r="33" spans="1:10" ht="24" thickBot="1">
      <c r="A33" s="12"/>
      <c r="B33" s="12"/>
      <c r="C33" s="6"/>
      <c r="D33" s="22" t="s">
        <v>21</v>
      </c>
      <c r="E33" s="38">
        <f>SUM(E31:E32)</f>
        <v>0</v>
      </c>
      <c r="F33" s="38">
        <f>SUM(F31:F32)</f>
        <v>0</v>
      </c>
      <c r="G33" s="38">
        <f>SUM(G31:G32)</f>
        <v>0</v>
      </c>
      <c r="H33" s="38">
        <f>SUM(H31:H32)</f>
        <v>2500</v>
      </c>
      <c r="I33" s="38">
        <f>I31</f>
        <v>2500</v>
      </c>
      <c r="J33" s="1"/>
    </row>
    <row r="34" spans="1:10" ht="24.75" thickBot="1" thickTop="1">
      <c r="A34" s="22"/>
      <c r="B34" s="12"/>
      <c r="C34" s="6"/>
      <c r="D34" s="22" t="s">
        <v>19</v>
      </c>
      <c r="E34" s="39">
        <f>E28+E33</f>
        <v>22500</v>
      </c>
      <c r="F34" s="39">
        <f>F27+F33</f>
        <v>0</v>
      </c>
      <c r="G34" s="39">
        <f>G27+G33</f>
        <v>0</v>
      </c>
      <c r="H34" s="39">
        <f>H28+H33</f>
        <v>20000</v>
      </c>
      <c r="I34" s="39">
        <f>E34-H34</f>
        <v>2500</v>
      </c>
      <c r="J34" s="1"/>
    </row>
    <row r="35" spans="1:10" s="53" customFormat="1" ht="23.25" customHeight="1" thickTop="1">
      <c r="A35" s="82"/>
      <c r="B35" s="82"/>
      <c r="C35" s="96"/>
      <c r="D35" s="96"/>
      <c r="E35" s="93"/>
      <c r="F35" s="93"/>
      <c r="G35" s="93"/>
      <c r="H35" s="93"/>
      <c r="I35" s="93"/>
      <c r="J35" s="76"/>
    </row>
    <row r="36" spans="1:9" ht="23.25" customHeight="1">
      <c r="A36" s="23"/>
      <c r="B36" s="14"/>
      <c r="C36" s="9"/>
      <c r="D36" s="23" t="s">
        <v>20</v>
      </c>
      <c r="E36" s="18"/>
      <c r="F36" s="18"/>
      <c r="G36" s="18"/>
      <c r="H36" s="18"/>
      <c r="I36" s="18">
        <f>I34</f>
        <v>2500</v>
      </c>
    </row>
    <row r="37" spans="1:9" ht="23.25" customHeight="1">
      <c r="A37" s="22" t="s">
        <v>29</v>
      </c>
      <c r="B37" s="12">
        <v>16</v>
      </c>
      <c r="C37" s="6" t="s">
        <v>382</v>
      </c>
      <c r="D37" s="20" t="s">
        <v>341</v>
      </c>
      <c r="E37" s="16"/>
      <c r="F37" s="16"/>
      <c r="G37" s="16"/>
      <c r="H37" s="16">
        <v>2500</v>
      </c>
      <c r="I37" s="16">
        <f>I36-H37</f>
        <v>0</v>
      </c>
    </row>
    <row r="38" spans="1:9" ht="23.25" customHeight="1">
      <c r="A38" s="22"/>
      <c r="B38" s="12"/>
      <c r="C38" s="6"/>
      <c r="D38" s="20"/>
      <c r="E38" s="16"/>
      <c r="F38" s="16"/>
      <c r="G38" s="16"/>
      <c r="H38" s="16"/>
      <c r="I38" s="16"/>
    </row>
    <row r="39" spans="1:10" ht="24" thickBot="1">
      <c r="A39" s="12"/>
      <c r="B39" s="12"/>
      <c r="C39" s="6"/>
      <c r="D39" s="22" t="s">
        <v>21</v>
      </c>
      <c r="E39" s="38">
        <f>SUM(E37:E38)</f>
        <v>0</v>
      </c>
      <c r="F39" s="38">
        <f>SUM(F37:F38)</f>
        <v>0</v>
      </c>
      <c r="G39" s="38">
        <f>SUM(G37:G38)</f>
        <v>0</v>
      </c>
      <c r="H39" s="38">
        <f>SUM(H37:H38)</f>
        <v>2500</v>
      </c>
      <c r="I39" s="38">
        <f>I37</f>
        <v>0</v>
      </c>
      <c r="J39" s="1"/>
    </row>
    <row r="40" spans="1:10" ht="24.75" thickBot="1" thickTop="1">
      <c r="A40" s="22"/>
      <c r="B40" s="12"/>
      <c r="C40" s="6"/>
      <c r="D40" s="22" t="s">
        <v>19</v>
      </c>
      <c r="E40" s="39">
        <f>E34+E39</f>
        <v>22500</v>
      </c>
      <c r="F40" s="39">
        <f>F34+F39</f>
        <v>0</v>
      </c>
      <c r="G40" s="39">
        <f>G34+G39</f>
        <v>0</v>
      </c>
      <c r="H40" s="39">
        <f>H34+H39</f>
        <v>22500</v>
      </c>
      <c r="I40" s="39">
        <f>E40-H40</f>
        <v>0</v>
      </c>
      <c r="J40" s="1"/>
    </row>
    <row r="41" spans="1:10" ht="24" thickTop="1">
      <c r="A41" s="22"/>
      <c r="B41" s="12"/>
      <c r="C41" s="6"/>
      <c r="D41" s="22"/>
      <c r="E41" s="19"/>
      <c r="F41" s="19"/>
      <c r="G41" s="19"/>
      <c r="H41" s="19"/>
      <c r="I41" s="19"/>
      <c r="J41" s="1"/>
    </row>
    <row r="42" spans="1:9" ht="23.25" customHeight="1">
      <c r="A42" s="22"/>
      <c r="B42" s="12"/>
      <c r="C42" s="6"/>
      <c r="D42" s="22" t="s">
        <v>20</v>
      </c>
      <c r="E42" s="16"/>
      <c r="F42" s="16"/>
      <c r="G42" s="16"/>
      <c r="H42" s="16"/>
      <c r="I42" s="16">
        <f>I39</f>
        <v>0</v>
      </c>
    </row>
    <row r="43" spans="1:9" ht="23.25" customHeight="1">
      <c r="A43" s="22" t="s">
        <v>31</v>
      </c>
      <c r="B43" s="27">
        <v>9</v>
      </c>
      <c r="C43" s="26" t="s">
        <v>431</v>
      </c>
      <c r="D43" s="26" t="s">
        <v>40</v>
      </c>
      <c r="E43" s="19">
        <v>7500</v>
      </c>
      <c r="F43" s="19"/>
      <c r="G43" s="19"/>
      <c r="H43" s="19"/>
      <c r="I43" s="19">
        <f>I42+E43-H43</f>
        <v>7500</v>
      </c>
    </row>
    <row r="44" spans="1:9" ht="23.25" customHeight="1">
      <c r="A44" s="22"/>
      <c r="B44" s="12"/>
      <c r="C44" s="6" t="s">
        <v>432</v>
      </c>
      <c r="D44" s="20"/>
      <c r="E44" s="16"/>
      <c r="F44" s="16"/>
      <c r="G44" s="16"/>
      <c r="H44" s="16"/>
      <c r="I44" s="16"/>
    </row>
    <row r="45" spans="1:9" ht="23.25" customHeight="1">
      <c r="A45" s="22"/>
      <c r="B45" s="12">
        <v>18</v>
      </c>
      <c r="C45" s="6" t="s">
        <v>430</v>
      </c>
      <c r="D45" s="20" t="s">
        <v>433</v>
      </c>
      <c r="E45" s="16"/>
      <c r="F45" s="16"/>
      <c r="G45" s="16"/>
      <c r="H45" s="16">
        <v>7500</v>
      </c>
      <c r="I45" s="16">
        <f>I43-H45</f>
        <v>0</v>
      </c>
    </row>
    <row r="46" spans="1:9" ht="23.25" customHeight="1">
      <c r="A46" s="22"/>
      <c r="B46" s="12"/>
      <c r="C46" s="6"/>
      <c r="D46" s="20"/>
      <c r="E46" s="19"/>
      <c r="F46" s="19"/>
      <c r="G46" s="19"/>
      <c r="H46" s="19"/>
      <c r="I46" s="19"/>
    </row>
    <row r="47" spans="1:10" ht="24" thickBot="1">
      <c r="A47" s="12"/>
      <c r="B47" s="12"/>
      <c r="C47" s="6"/>
      <c r="D47" s="22" t="s">
        <v>21</v>
      </c>
      <c r="E47" s="38">
        <f>SUM(E43:E44)</f>
        <v>7500</v>
      </c>
      <c r="F47" s="38">
        <f>SUM(F43:F44)</f>
        <v>0</v>
      </c>
      <c r="G47" s="38">
        <f>SUM(G43:G44)</f>
        <v>0</v>
      </c>
      <c r="H47" s="38">
        <f>SUM(H45:H45)</f>
        <v>7500</v>
      </c>
      <c r="I47" s="38">
        <f>I45</f>
        <v>0</v>
      </c>
      <c r="J47" s="1"/>
    </row>
    <row r="48" spans="1:10" ht="24.75" thickBot="1" thickTop="1">
      <c r="A48" s="32"/>
      <c r="B48" s="13"/>
      <c r="C48" s="10"/>
      <c r="D48" s="32" t="s">
        <v>19</v>
      </c>
      <c r="E48" s="39">
        <f>E40+E47</f>
        <v>30000</v>
      </c>
      <c r="F48" s="39">
        <f>F39+F47</f>
        <v>0</v>
      </c>
      <c r="G48" s="39">
        <f>G39+G47</f>
        <v>0</v>
      </c>
      <c r="H48" s="39">
        <f>H40+H47</f>
        <v>30000</v>
      </c>
      <c r="I48" s="39">
        <f>E48-H48</f>
        <v>0</v>
      </c>
      <c r="J48" s="1"/>
    </row>
    <row r="49" ht="23.25" customHeight="1" thickTop="1"/>
  </sheetData>
  <sheetProtection/>
  <mergeCells count="8">
    <mergeCell ref="A1:H1"/>
    <mergeCell ref="A4:I4"/>
    <mergeCell ref="A5:I5"/>
    <mergeCell ref="C6:C7"/>
    <mergeCell ref="D6:D7"/>
    <mergeCell ref="E6:I6"/>
    <mergeCell ref="A2:I2"/>
    <mergeCell ref="A3:I3"/>
  </mergeCells>
  <printOptions/>
  <pageMargins left="0.15748031496062992" right="0.15748031496062992" top="0.7874015748031497" bottom="0.7874015748031497" header="0.5118110236220472" footer="0.5118110236220472"/>
  <pageSetup horizontalDpi="180" verticalDpi="180" orientation="landscape" paperSize="9" r:id="rId1"/>
  <headerFooter alignWithMargins="0">
    <oddFooter>&amp;C&amp;"Angsana New,ธรรมดา"&amp;14หน้า &amp;P</oddFooter>
  </headerFooter>
  <ignoredErrors>
    <ignoredError sqref="I28" formula="1"/>
    <ignoredError sqref="C1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pane xSplit="4" ySplit="1" topLeftCell="E7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82" sqref="C82"/>
    </sheetView>
  </sheetViews>
  <sheetFormatPr defaultColWidth="9.140625" defaultRowHeight="12.75"/>
  <cols>
    <col min="1" max="1" width="10.00390625" style="1" customWidth="1"/>
    <col min="2" max="2" width="4.28125" style="1" customWidth="1"/>
    <col min="3" max="3" width="13.00390625" style="1" customWidth="1"/>
    <col min="4" max="4" width="46.421875" style="1" customWidth="1"/>
    <col min="5" max="9" width="14.28125" style="1" customWidth="1"/>
    <col min="10" max="10" width="13.140625" style="25" customWidth="1"/>
    <col min="11" max="16384" width="9.140625" style="1" customWidth="1"/>
  </cols>
  <sheetData>
    <row r="1" spans="1:10" s="2" customFormat="1" ht="23.25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74" t="s">
        <v>38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ht="23.25">
      <c r="A3" s="375" t="s">
        <v>39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68" t="s">
        <v>120</v>
      </c>
      <c r="B4" s="368"/>
      <c r="C4" s="368"/>
      <c r="D4" s="368"/>
      <c r="E4" s="368"/>
      <c r="F4" s="368"/>
      <c r="G4" s="368"/>
      <c r="H4" s="368"/>
      <c r="I4" s="368"/>
      <c r="J4" s="33"/>
      <c r="K4" s="33"/>
      <c r="L4" s="33"/>
      <c r="M4" s="33"/>
      <c r="N4" s="33"/>
    </row>
    <row r="5" spans="1:14" ht="23.25">
      <c r="A5" s="376" t="s">
        <v>142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10" s="30" customFormat="1" ht="23.25" customHeight="1">
      <c r="A6" s="7" t="s">
        <v>0</v>
      </c>
      <c r="B6" s="4"/>
      <c r="C6" s="378" t="s">
        <v>3</v>
      </c>
      <c r="D6" s="378" t="s">
        <v>4</v>
      </c>
      <c r="E6" s="371" t="s">
        <v>10</v>
      </c>
      <c r="F6" s="372"/>
      <c r="G6" s="372"/>
      <c r="H6" s="372"/>
      <c r="I6" s="373"/>
      <c r="J6" s="29"/>
    </row>
    <row r="7" spans="1:10" s="30" customFormat="1" ht="23.25" customHeight="1">
      <c r="A7" s="4" t="s">
        <v>1</v>
      </c>
      <c r="B7" s="4" t="s">
        <v>2</v>
      </c>
      <c r="C7" s="379"/>
      <c r="D7" s="379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29"/>
    </row>
    <row r="8" spans="1:9" ht="23.25" customHeight="1">
      <c r="A8" s="27" t="s">
        <v>13</v>
      </c>
      <c r="B8" s="27">
        <v>26</v>
      </c>
      <c r="C8" s="26" t="s">
        <v>43</v>
      </c>
      <c r="D8" s="26" t="s">
        <v>44</v>
      </c>
      <c r="E8" s="19">
        <v>9210900</v>
      </c>
      <c r="F8" s="19"/>
      <c r="G8" s="19"/>
      <c r="H8" s="19"/>
      <c r="I8" s="19">
        <f>E8</f>
        <v>9210900</v>
      </c>
    </row>
    <row r="9" spans="1:9" ht="23.25" customHeight="1">
      <c r="A9" s="12"/>
      <c r="B9" s="12"/>
      <c r="C9" s="6" t="s">
        <v>121</v>
      </c>
      <c r="D9" s="6" t="s">
        <v>45</v>
      </c>
      <c r="E9" s="16"/>
      <c r="F9" s="16"/>
      <c r="G9" s="16"/>
      <c r="H9" s="16"/>
      <c r="I9" s="16"/>
    </row>
    <row r="10" spans="1:9" ht="23.25" customHeight="1">
      <c r="A10" s="12"/>
      <c r="B10" s="12"/>
      <c r="C10" s="97"/>
      <c r="D10" s="6"/>
      <c r="E10" s="16"/>
      <c r="F10" s="16"/>
      <c r="G10" s="16"/>
      <c r="H10" s="16"/>
      <c r="I10" s="16"/>
    </row>
    <row r="11" spans="1:10" ht="24" thickBot="1">
      <c r="A11" s="12"/>
      <c r="B11" s="12"/>
      <c r="C11" s="6"/>
      <c r="D11" s="12" t="s">
        <v>21</v>
      </c>
      <c r="E11" s="38">
        <f>SUM(E8:E10)</f>
        <v>9210900</v>
      </c>
      <c r="F11" s="38">
        <f>SUM(F8:F10)</f>
        <v>0</v>
      </c>
      <c r="G11" s="38">
        <f>SUM(G8:G10)</f>
        <v>0</v>
      </c>
      <c r="H11" s="38">
        <f>SUM(H8:H10)</f>
        <v>0</v>
      </c>
      <c r="I11" s="38">
        <f>I10</f>
        <v>0</v>
      </c>
      <c r="J11" s="1"/>
    </row>
    <row r="12" spans="1:10" ht="24.75" thickBot="1" thickTop="1">
      <c r="A12" s="22"/>
      <c r="B12" s="12"/>
      <c r="C12" s="6"/>
      <c r="D12" s="12" t="s">
        <v>19</v>
      </c>
      <c r="E12" s="39">
        <f>E11</f>
        <v>9210900</v>
      </c>
      <c r="F12" s="39">
        <f>F11</f>
        <v>0</v>
      </c>
      <c r="G12" s="39">
        <f>G11</f>
        <v>0</v>
      </c>
      <c r="H12" s="39">
        <f>H11</f>
        <v>0</v>
      </c>
      <c r="I12" s="39">
        <f>E12-H12</f>
        <v>9210900</v>
      </c>
      <c r="J12" s="1"/>
    </row>
    <row r="13" spans="1:9" ht="23.25" customHeight="1" thickTop="1">
      <c r="A13" s="22"/>
      <c r="B13" s="12"/>
      <c r="C13" s="6"/>
      <c r="D13" s="12"/>
      <c r="E13" s="16"/>
      <c r="F13" s="16"/>
      <c r="G13" s="16"/>
      <c r="H13" s="16"/>
      <c r="I13" s="16"/>
    </row>
    <row r="14" spans="1:9" ht="23.25" customHeight="1">
      <c r="A14" s="22"/>
      <c r="B14" s="12"/>
      <c r="C14" s="6"/>
      <c r="D14" s="22" t="s">
        <v>20</v>
      </c>
      <c r="E14" s="16"/>
      <c r="F14" s="16"/>
      <c r="G14" s="16"/>
      <c r="H14" s="16"/>
      <c r="I14" s="16">
        <f>I12</f>
        <v>9210900</v>
      </c>
    </row>
    <row r="15" spans="1:9" ht="23.25" customHeight="1">
      <c r="A15" s="22" t="s">
        <v>15</v>
      </c>
      <c r="B15" s="12">
        <v>17</v>
      </c>
      <c r="C15" s="97" t="s">
        <v>138</v>
      </c>
      <c r="D15" s="6" t="s">
        <v>140</v>
      </c>
      <c r="E15" s="16"/>
      <c r="F15" s="16"/>
      <c r="G15" s="16"/>
      <c r="H15" s="16">
        <v>1647645.16</v>
      </c>
      <c r="I15" s="16">
        <f>I14+E15-H15</f>
        <v>7563254.84</v>
      </c>
    </row>
    <row r="16" spans="1:9" ht="23.25" customHeight="1">
      <c r="A16" s="22"/>
      <c r="B16" s="12"/>
      <c r="C16" s="6" t="s">
        <v>139</v>
      </c>
      <c r="D16" s="6" t="s">
        <v>141</v>
      </c>
      <c r="E16" s="16"/>
      <c r="F16" s="16"/>
      <c r="G16" s="16"/>
      <c r="H16" s="16">
        <v>1653000</v>
      </c>
      <c r="I16" s="16">
        <f>I15+E16-H16</f>
        <v>5910254.84</v>
      </c>
    </row>
    <row r="17" spans="1:9" ht="23.25" customHeight="1">
      <c r="A17" s="22"/>
      <c r="B17" s="12"/>
      <c r="C17" s="6"/>
      <c r="D17" s="6"/>
      <c r="E17" s="16"/>
      <c r="F17" s="16"/>
      <c r="G17" s="16"/>
      <c r="H17" s="16"/>
      <c r="I17" s="16"/>
    </row>
    <row r="18" spans="1:10" ht="24" thickBot="1">
      <c r="A18" s="12"/>
      <c r="B18" s="12"/>
      <c r="C18" s="6"/>
      <c r="D18" s="12" t="s">
        <v>21</v>
      </c>
      <c r="E18" s="38">
        <f>SUM(E15:E17)</f>
        <v>0</v>
      </c>
      <c r="F18" s="38">
        <f>SUM(F13:F17)</f>
        <v>0</v>
      </c>
      <c r="G18" s="38">
        <f>SUM(G13:G17)</f>
        <v>0</v>
      </c>
      <c r="H18" s="38">
        <f>SUM(H13:H17)</f>
        <v>3300645.16</v>
      </c>
      <c r="I18" s="38">
        <f>I16</f>
        <v>5910254.84</v>
      </c>
      <c r="J18" s="1"/>
    </row>
    <row r="19" spans="1:10" ht="24.75" thickBot="1" thickTop="1">
      <c r="A19" s="22"/>
      <c r="B19" s="12"/>
      <c r="C19" s="6"/>
      <c r="D19" s="12" t="s">
        <v>19</v>
      </c>
      <c r="E19" s="39">
        <f>E18+E12</f>
        <v>9210900</v>
      </c>
      <c r="F19" s="39">
        <f>F18+F12</f>
        <v>0</v>
      </c>
      <c r="G19" s="39">
        <f>G18+G12</f>
        <v>0</v>
      </c>
      <c r="H19" s="39">
        <f>H18+H12</f>
        <v>3300645.16</v>
      </c>
      <c r="I19" s="39">
        <f>E19-H19</f>
        <v>5910254.84</v>
      </c>
      <c r="J19" s="1"/>
    </row>
    <row r="20" spans="1:10" ht="24" thickTop="1">
      <c r="A20" s="114"/>
      <c r="B20" s="77"/>
      <c r="C20" s="95"/>
      <c r="D20" s="77"/>
      <c r="E20" s="79"/>
      <c r="F20" s="79"/>
      <c r="G20" s="79"/>
      <c r="H20" s="79"/>
      <c r="I20" s="79"/>
      <c r="J20" s="1"/>
    </row>
    <row r="21" spans="1:10" ht="23.25">
      <c r="A21" s="32"/>
      <c r="B21" s="82"/>
      <c r="C21" s="83"/>
      <c r="D21" s="82"/>
      <c r="E21" s="93"/>
      <c r="F21" s="93"/>
      <c r="G21" s="93"/>
      <c r="H21" s="93"/>
      <c r="I21" s="93"/>
      <c r="J21" s="1"/>
    </row>
    <row r="22" spans="1:9" ht="23.25" customHeight="1">
      <c r="A22" s="23"/>
      <c r="B22" s="14"/>
      <c r="C22" s="9"/>
      <c r="D22" s="14" t="s">
        <v>20</v>
      </c>
      <c r="E22" s="18"/>
      <c r="F22" s="18"/>
      <c r="G22" s="18"/>
      <c r="H22" s="18"/>
      <c r="I22" s="18">
        <f>I19</f>
        <v>5910254.84</v>
      </c>
    </row>
    <row r="23" spans="1:9" ht="23.25" customHeight="1">
      <c r="A23" s="22" t="s">
        <v>23</v>
      </c>
      <c r="B23" s="12">
        <v>14</v>
      </c>
      <c r="C23" s="6" t="s">
        <v>195</v>
      </c>
      <c r="D23" s="6" t="s">
        <v>196</v>
      </c>
      <c r="E23" s="16"/>
      <c r="F23" s="16"/>
      <c r="G23" s="16"/>
      <c r="H23" s="16">
        <v>1672000</v>
      </c>
      <c r="I23" s="16">
        <f>I22-H23</f>
        <v>4238254.84</v>
      </c>
    </row>
    <row r="24" spans="1:9" ht="23.25" customHeight="1">
      <c r="A24" s="22"/>
      <c r="B24" s="12"/>
      <c r="C24" s="6" t="s">
        <v>197</v>
      </c>
      <c r="D24" s="6" t="s">
        <v>140</v>
      </c>
      <c r="E24" s="16"/>
      <c r="F24" s="16"/>
      <c r="G24" s="16"/>
      <c r="H24" s="16">
        <v>71000</v>
      </c>
      <c r="I24" s="16">
        <f>I23-H24</f>
        <v>4167254.84</v>
      </c>
    </row>
    <row r="25" spans="1:9" ht="23.25" customHeight="1">
      <c r="A25" s="22"/>
      <c r="B25" s="12"/>
      <c r="C25" s="6"/>
      <c r="D25" s="20"/>
      <c r="E25" s="16"/>
      <c r="F25" s="16"/>
      <c r="G25" s="16"/>
      <c r="H25" s="16"/>
      <c r="I25" s="16"/>
    </row>
    <row r="26" spans="1:10" ht="24" thickBot="1">
      <c r="A26" s="12"/>
      <c r="B26" s="12"/>
      <c r="C26" s="6"/>
      <c r="D26" s="12" t="s">
        <v>21</v>
      </c>
      <c r="E26" s="38">
        <f>SUM(E23:E25)</f>
        <v>0</v>
      </c>
      <c r="F26" s="38">
        <f>SUM(F23:F25)</f>
        <v>0</v>
      </c>
      <c r="G26" s="38">
        <f>SUM(G23:G25)</f>
        <v>0</v>
      </c>
      <c r="H26" s="38">
        <f>SUM(H23:H25)</f>
        <v>1743000</v>
      </c>
      <c r="I26" s="38">
        <f>I24</f>
        <v>4167254.84</v>
      </c>
      <c r="J26" s="1"/>
    </row>
    <row r="27" spans="1:10" ht="24.75" thickBot="1" thickTop="1">
      <c r="A27" s="22"/>
      <c r="B27" s="12"/>
      <c r="C27" s="6"/>
      <c r="D27" s="12" t="s">
        <v>19</v>
      </c>
      <c r="E27" s="39">
        <f>E19+E26</f>
        <v>9210900</v>
      </c>
      <c r="F27" s="39">
        <f>F19+F26</f>
        <v>0</v>
      </c>
      <c r="G27" s="39">
        <f>G19+G26</f>
        <v>0</v>
      </c>
      <c r="H27" s="39">
        <f>H19+H26</f>
        <v>5043645.16</v>
      </c>
      <c r="I27" s="39">
        <f>E27-H27</f>
        <v>4167254.84</v>
      </c>
      <c r="J27" s="1"/>
    </row>
    <row r="28" spans="1:10" s="53" customFormat="1" ht="23.25" customHeight="1" thickTop="1">
      <c r="A28" s="72"/>
      <c r="B28" s="72"/>
      <c r="C28" s="80"/>
      <c r="D28" s="73"/>
      <c r="E28" s="75"/>
      <c r="F28" s="75"/>
      <c r="G28" s="75"/>
      <c r="H28" s="75"/>
      <c r="I28" s="75"/>
      <c r="J28" s="76"/>
    </row>
    <row r="29" spans="1:9" ht="23.25" customHeight="1">
      <c r="A29" s="22"/>
      <c r="B29" s="12"/>
      <c r="C29" s="6"/>
      <c r="D29" s="22" t="s">
        <v>20</v>
      </c>
      <c r="E29" s="16"/>
      <c r="F29" s="16"/>
      <c r="G29" s="16"/>
      <c r="H29" s="16"/>
      <c r="I29" s="16">
        <f>I27</f>
        <v>4167254.84</v>
      </c>
    </row>
    <row r="30" spans="1:10" ht="23.25">
      <c r="A30" s="22" t="s">
        <v>24</v>
      </c>
      <c r="B30" s="12">
        <v>17</v>
      </c>
      <c r="C30" s="6" t="s">
        <v>205</v>
      </c>
      <c r="D30" s="6" t="s">
        <v>191</v>
      </c>
      <c r="E30" s="16"/>
      <c r="F30" s="16"/>
      <c r="G30" s="16"/>
      <c r="H30" s="16">
        <v>1649000</v>
      </c>
      <c r="I30" s="16">
        <f>I29-H30</f>
        <v>2518254.84</v>
      </c>
      <c r="J30" s="1"/>
    </row>
    <row r="31" spans="1:10" ht="23.25">
      <c r="A31" s="22"/>
      <c r="B31" s="12"/>
      <c r="C31" s="6" t="s">
        <v>206</v>
      </c>
      <c r="D31" s="6" t="s">
        <v>196</v>
      </c>
      <c r="E31" s="16"/>
      <c r="F31" s="16"/>
      <c r="G31" s="16"/>
      <c r="H31" s="16">
        <v>6000</v>
      </c>
      <c r="I31" s="16">
        <f>I30-H31</f>
        <v>2512254.84</v>
      </c>
      <c r="J31" s="1"/>
    </row>
    <row r="32" spans="1:9" ht="23.25" customHeight="1">
      <c r="A32" s="22"/>
      <c r="B32" s="12"/>
      <c r="C32" s="6"/>
      <c r="D32" s="20"/>
      <c r="E32" s="16"/>
      <c r="F32" s="16"/>
      <c r="G32" s="16"/>
      <c r="H32" s="16"/>
      <c r="I32" s="16"/>
    </row>
    <row r="33" spans="1:10" ht="24" thickBot="1">
      <c r="A33" s="12"/>
      <c r="B33" s="12"/>
      <c r="C33" s="6"/>
      <c r="D33" s="12" t="s">
        <v>21</v>
      </c>
      <c r="E33" s="38">
        <f>SUM(E30:E32)</f>
        <v>0</v>
      </c>
      <c r="F33" s="38">
        <f>SUM(F30:F32)</f>
        <v>0</v>
      </c>
      <c r="G33" s="38">
        <f>SUM(G30:G32)</f>
        <v>0</v>
      </c>
      <c r="H33" s="38">
        <f>SUM(H30:H32)</f>
        <v>1655000</v>
      </c>
      <c r="I33" s="38">
        <f>I31</f>
        <v>2512254.84</v>
      </c>
      <c r="J33" s="1"/>
    </row>
    <row r="34" spans="1:10" ht="24.75" thickBot="1" thickTop="1">
      <c r="A34" s="22"/>
      <c r="B34" s="12"/>
      <c r="C34" s="6"/>
      <c r="D34" s="12" t="s">
        <v>19</v>
      </c>
      <c r="E34" s="39">
        <f>E27+E33</f>
        <v>9210900</v>
      </c>
      <c r="F34" s="39">
        <f>F27+F33</f>
        <v>0</v>
      </c>
      <c r="G34" s="39">
        <f>G27+G33</f>
        <v>0</v>
      </c>
      <c r="H34" s="39">
        <f>H27+H33</f>
        <v>6698645.16</v>
      </c>
      <c r="I34" s="39">
        <f>E34-H34</f>
        <v>2512254.84</v>
      </c>
      <c r="J34" s="1"/>
    </row>
    <row r="35" spans="1:10" s="53" customFormat="1" ht="23.25" customHeight="1" thickTop="1">
      <c r="A35" s="84"/>
      <c r="B35" s="82"/>
      <c r="C35" s="83"/>
      <c r="D35" s="83"/>
      <c r="E35" s="93"/>
      <c r="F35" s="93"/>
      <c r="G35" s="93"/>
      <c r="H35" s="93"/>
      <c r="I35" s="93"/>
      <c r="J35" s="76"/>
    </row>
    <row r="36" spans="1:9" ht="23.25" customHeight="1">
      <c r="A36" s="23"/>
      <c r="B36" s="14"/>
      <c r="C36" s="9"/>
      <c r="D36" s="23" t="s">
        <v>20</v>
      </c>
      <c r="E36" s="18"/>
      <c r="F36" s="18"/>
      <c r="G36" s="18"/>
      <c r="H36" s="18"/>
      <c r="I36" s="18">
        <f>I34</f>
        <v>2512254.84</v>
      </c>
    </row>
    <row r="37" spans="1:10" ht="23.25">
      <c r="A37" s="22" t="s">
        <v>25</v>
      </c>
      <c r="B37" s="12">
        <v>15</v>
      </c>
      <c r="C37" s="6" t="s">
        <v>222</v>
      </c>
      <c r="D37" s="6" t="s">
        <v>221</v>
      </c>
      <c r="E37" s="16"/>
      <c r="F37" s="16"/>
      <c r="G37" s="16"/>
      <c r="H37" s="16">
        <v>1670375</v>
      </c>
      <c r="I37" s="16">
        <f>I36-H37</f>
        <v>841879.8399999999</v>
      </c>
      <c r="J37" s="1"/>
    </row>
    <row r="38" spans="1:10" ht="23.25">
      <c r="A38" s="22"/>
      <c r="B38" s="12"/>
      <c r="C38" s="6" t="s">
        <v>223</v>
      </c>
      <c r="D38" s="20" t="s">
        <v>191</v>
      </c>
      <c r="E38" s="16"/>
      <c r="F38" s="16"/>
      <c r="G38" s="16"/>
      <c r="H38" s="16">
        <v>17500</v>
      </c>
      <c r="I38" s="16">
        <f>I37-H38</f>
        <v>824379.8399999999</v>
      </c>
      <c r="J38" s="1"/>
    </row>
    <row r="39" spans="1:9" ht="23.25" customHeight="1">
      <c r="A39" s="22"/>
      <c r="B39" s="12"/>
      <c r="C39" s="6"/>
      <c r="D39" s="20"/>
      <c r="E39" s="16"/>
      <c r="F39" s="16"/>
      <c r="G39" s="16"/>
      <c r="H39" s="16"/>
      <c r="I39" s="16"/>
    </row>
    <row r="40" spans="1:10" ht="24" thickBot="1">
      <c r="A40" s="12"/>
      <c r="B40" s="12"/>
      <c r="C40" s="6"/>
      <c r="D40" s="12" t="s">
        <v>21</v>
      </c>
      <c r="E40" s="38">
        <f>SUM(E37:E39)</f>
        <v>0</v>
      </c>
      <c r="F40" s="38">
        <f>SUM(F35:F39)</f>
        <v>0</v>
      </c>
      <c r="G40" s="38">
        <f>SUM(G35:G39)</f>
        <v>0</v>
      </c>
      <c r="H40" s="38">
        <f>SUM(H35:H39)</f>
        <v>1687875</v>
      </c>
      <c r="I40" s="38">
        <f>I38</f>
        <v>824379.8399999999</v>
      </c>
      <c r="J40" s="1"/>
    </row>
    <row r="41" spans="1:10" ht="24.75" thickBot="1" thickTop="1">
      <c r="A41" s="22"/>
      <c r="B41" s="12"/>
      <c r="C41" s="6"/>
      <c r="D41" s="12" t="s">
        <v>19</v>
      </c>
      <c r="E41" s="39">
        <f>E40+E34</f>
        <v>9210900</v>
      </c>
      <c r="F41" s="39">
        <f>F40+F34</f>
        <v>0</v>
      </c>
      <c r="G41" s="39">
        <f>G40+G34</f>
        <v>0</v>
      </c>
      <c r="H41" s="39">
        <f>H40+H34</f>
        <v>8386520.16</v>
      </c>
      <c r="I41" s="39">
        <f>E41-H41</f>
        <v>824379.8399999999</v>
      </c>
      <c r="J41" s="1"/>
    </row>
    <row r="42" spans="1:9" s="53" customFormat="1" ht="24" thickTop="1">
      <c r="A42" s="72"/>
      <c r="B42" s="72"/>
      <c r="C42" s="73"/>
      <c r="D42" s="72"/>
      <c r="E42" s="75"/>
      <c r="F42" s="75"/>
      <c r="G42" s="75"/>
      <c r="H42" s="75"/>
      <c r="I42" s="75"/>
    </row>
    <row r="43" spans="1:10" ht="23.25">
      <c r="A43" s="12"/>
      <c r="B43" s="12"/>
      <c r="C43" s="6"/>
      <c r="D43" s="12" t="s">
        <v>20</v>
      </c>
      <c r="E43" s="16"/>
      <c r="F43" s="16"/>
      <c r="G43" s="16"/>
      <c r="H43" s="16"/>
      <c r="I43" s="16">
        <f>I41</f>
        <v>824379.8399999999</v>
      </c>
      <c r="J43" s="1"/>
    </row>
    <row r="44" spans="1:9" ht="23.25" customHeight="1">
      <c r="A44" s="22" t="s">
        <v>26</v>
      </c>
      <c r="B44" s="12">
        <v>8</v>
      </c>
      <c r="C44" s="20" t="s">
        <v>247</v>
      </c>
      <c r="D44" s="20" t="s">
        <v>44</v>
      </c>
      <c r="E44" s="16">
        <v>5645020</v>
      </c>
      <c r="F44" s="16"/>
      <c r="G44" s="16"/>
      <c r="H44" s="16"/>
      <c r="I44" s="16">
        <f>I43+E44-H44</f>
        <v>6469399.84</v>
      </c>
    </row>
    <row r="45" spans="1:9" ht="23.25" customHeight="1">
      <c r="A45" s="22"/>
      <c r="B45" s="12"/>
      <c r="C45" s="6" t="s">
        <v>248</v>
      </c>
      <c r="D45" s="6" t="s">
        <v>249</v>
      </c>
      <c r="E45" s="16"/>
      <c r="F45" s="16"/>
      <c r="G45" s="16"/>
      <c r="H45" s="16"/>
      <c r="I45" s="16"/>
    </row>
    <row r="46" spans="1:10" ht="23.25">
      <c r="A46" s="22"/>
      <c r="B46" s="12">
        <v>19</v>
      </c>
      <c r="C46" s="20" t="s">
        <v>250</v>
      </c>
      <c r="D46" s="6" t="s">
        <v>251</v>
      </c>
      <c r="E46" s="16"/>
      <c r="F46" s="16"/>
      <c r="G46" s="16"/>
      <c r="H46" s="16">
        <v>1688112.9</v>
      </c>
      <c r="I46" s="16">
        <f>I44-H46</f>
        <v>4781286.9399999995</v>
      </c>
      <c r="J46" s="1"/>
    </row>
    <row r="47" spans="1:10" ht="23.25">
      <c r="A47" s="22"/>
      <c r="B47" s="12"/>
      <c r="C47" s="20" t="s">
        <v>252</v>
      </c>
      <c r="D47" s="6" t="s">
        <v>221</v>
      </c>
      <c r="E47" s="16"/>
      <c r="F47" s="16"/>
      <c r="G47" s="16"/>
      <c r="H47" s="16">
        <v>3500</v>
      </c>
      <c r="I47" s="16">
        <f>I46+E47-H47</f>
        <v>4777786.9399999995</v>
      </c>
      <c r="J47" s="1"/>
    </row>
    <row r="48" spans="1:10" ht="24" thickBot="1">
      <c r="A48" s="12"/>
      <c r="B48" s="12"/>
      <c r="C48" s="6"/>
      <c r="D48" s="12" t="s">
        <v>21</v>
      </c>
      <c r="E48" s="38">
        <f>SUM(E44:E47)</f>
        <v>5645020</v>
      </c>
      <c r="F48" s="38">
        <f>SUM(F46:F47)</f>
        <v>0</v>
      </c>
      <c r="G48" s="38">
        <f>SUM(G46:G47)</f>
        <v>0</v>
      </c>
      <c r="H48" s="38">
        <f>SUM(H46:H47)</f>
        <v>1691612.9</v>
      </c>
      <c r="I48" s="38">
        <f>I47</f>
        <v>4777786.9399999995</v>
      </c>
      <c r="J48" s="1"/>
    </row>
    <row r="49" spans="1:10" ht="24.75" thickBot="1" thickTop="1">
      <c r="A49" s="32"/>
      <c r="B49" s="13"/>
      <c r="C49" s="10"/>
      <c r="D49" s="13" t="s">
        <v>19</v>
      </c>
      <c r="E49" s="39">
        <f>E41+E48</f>
        <v>14855920</v>
      </c>
      <c r="F49" s="39">
        <f>F41+F48</f>
        <v>0</v>
      </c>
      <c r="G49" s="39">
        <f>G41+G48</f>
        <v>0</v>
      </c>
      <c r="H49" s="39">
        <f>H41+H48</f>
        <v>10078133.06</v>
      </c>
      <c r="I49" s="39">
        <f>E49-H49</f>
        <v>4777786.9399999995</v>
      </c>
      <c r="J49" s="1" t="s">
        <v>284</v>
      </c>
    </row>
    <row r="50" spans="1:9" s="208" customFormat="1" ht="24" thickTop="1">
      <c r="A50" s="204"/>
      <c r="B50" s="204"/>
      <c r="C50" s="205"/>
      <c r="D50" s="204" t="s">
        <v>20</v>
      </c>
      <c r="E50" s="206"/>
      <c r="F50" s="206"/>
      <c r="G50" s="206"/>
      <c r="H50" s="206"/>
      <c r="I50" s="206">
        <f>I49</f>
        <v>4777786.9399999995</v>
      </c>
    </row>
    <row r="51" spans="1:10" s="208" customFormat="1" ht="23.25" customHeight="1">
      <c r="A51" s="212" t="s">
        <v>27</v>
      </c>
      <c r="B51" s="209">
        <v>18</v>
      </c>
      <c r="C51" s="213" t="s">
        <v>298</v>
      </c>
      <c r="D51" s="210" t="s">
        <v>299</v>
      </c>
      <c r="E51" s="211"/>
      <c r="F51" s="211"/>
      <c r="G51" s="211"/>
      <c r="H51" s="211">
        <v>1685600</v>
      </c>
      <c r="I51" s="211">
        <f>I50-H51</f>
        <v>3092186.9399999995</v>
      </c>
      <c r="J51" s="207"/>
    </row>
    <row r="52" spans="1:10" s="208" customFormat="1" ht="23.25" customHeight="1">
      <c r="A52" s="212"/>
      <c r="B52" s="209"/>
      <c r="C52" s="322" t="s">
        <v>300</v>
      </c>
      <c r="D52" s="210" t="s">
        <v>221</v>
      </c>
      <c r="E52" s="211"/>
      <c r="F52" s="211"/>
      <c r="G52" s="211"/>
      <c r="H52" s="211">
        <v>6964.29</v>
      </c>
      <c r="I52" s="211">
        <f>I51-H52</f>
        <v>3085222.6499999994</v>
      </c>
      <c r="J52" s="207"/>
    </row>
    <row r="53" spans="1:10" s="208" customFormat="1" ht="23.25" customHeight="1">
      <c r="A53" s="212"/>
      <c r="B53" s="209"/>
      <c r="C53" s="210"/>
      <c r="D53" s="213"/>
      <c r="E53" s="211"/>
      <c r="F53" s="211"/>
      <c r="G53" s="211"/>
      <c r="H53" s="211"/>
      <c r="I53" s="211"/>
      <c r="J53" s="207"/>
    </row>
    <row r="54" spans="1:9" s="208" customFormat="1" ht="24" thickBot="1">
      <c r="A54" s="209"/>
      <c r="B54" s="209"/>
      <c r="C54" s="210"/>
      <c r="D54" s="209" t="s">
        <v>21</v>
      </c>
      <c r="E54" s="214">
        <f>SUM(E51:E53)</f>
        <v>0</v>
      </c>
      <c r="F54" s="214">
        <f>SUM(F51:F53)</f>
        <v>0</v>
      </c>
      <c r="G54" s="214">
        <f>SUM(G51:G53)</f>
        <v>0</v>
      </c>
      <c r="H54" s="214">
        <f>SUM(H51:H53)</f>
        <v>1692564.29</v>
      </c>
      <c r="I54" s="214">
        <f>I52</f>
        <v>3085222.6499999994</v>
      </c>
    </row>
    <row r="55" spans="1:9" s="208" customFormat="1" ht="24.75" thickBot="1" thickTop="1">
      <c r="A55" s="212"/>
      <c r="B55" s="209"/>
      <c r="C55" s="210"/>
      <c r="D55" s="209" t="s">
        <v>19</v>
      </c>
      <c r="E55" s="215">
        <f>E49+E54</f>
        <v>14855920</v>
      </c>
      <c r="F55" s="215">
        <f>F49+F54</f>
        <v>0</v>
      </c>
      <c r="G55" s="215">
        <f>G49+G54</f>
        <v>0</v>
      </c>
      <c r="H55" s="215">
        <f>H49+H54</f>
        <v>11770697.350000001</v>
      </c>
      <c r="I55" s="215">
        <f>E55-H55</f>
        <v>3085222.6499999985</v>
      </c>
    </row>
    <row r="56" spans="1:10" s="53" customFormat="1" ht="23.25" customHeight="1" thickTop="1">
      <c r="A56" s="85"/>
      <c r="B56" s="86"/>
      <c r="C56" s="87"/>
      <c r="D56" s="86"/>
      <c r="E56" s="81"/>
      <c r="F56" s="81"/>
      <c r="G56" s="81"/>
      <c r="H56" s="81"/>
      <c r="I56" s="81"/>
      <c r="J56" s="76"/>
    </row>
    <row r="57" spans="1:10" ht="23.25">
      <c r="A57" s="14"/>
      <c r="B57" s="14"/>
      <c r="C57" s="9"/>
      <c r="D57" s="14" t="s">
        <v>20</v>
      </c>
      <c r="E57" s="18"/>
      <c r="F57" s="18"/>
      <c r="G57" s="18"/>
      <c r="H57" s="18"/>
      <c r="I57" s="18">
        <f>I55</f>
        <v>3085222.6499999985</v>
      </c>
      <c r="J57" s="1"/>
    </row>
    <row r="58" spans="1:9" ht="23.25" customHeight="1">
      <c r="A58" s="102" t="s">
        <v>28</v>
      </c>
      <c r="B58" s="43">
        <v>16</v>
      </c>
      <c r="C58" s="26" t="s">
        <v>340</v>
      </c>
      <c r="D58" s="44" t="s">
        <v>341</v>
      </c>
      <c r="E58" s="16"/>
      <c r="F58" s="16"/>
      <c r="G58" s="16"/>
      <c r="H58" s="16">
        <v>1690709.68</v>
      </c>
      <c r="I58" s="16">
        <f>I57-H58</f>
        <v>1394512.9699999986</v>
      </c>
    </row>
    <row r="59" spans="1:9" ht="23.25" customHeight="1">
      <c r="A59" s="22"/>
      <c r="B59" s="12"/>
      <c r="C59" s="6"/>
      <c r="D59" s="20"/>
      <c r="E59" s="16"/>
      <c r="F59" s="16"/>
      <c r="G59" s="16"/>
      <c r="H59" s="16"/>
      <c r="I59" s="16"/>
    </row>
    <row r="60" spans="1:10" ht="24" thickBot="1">
      <c r="A60" s="12"/>
      <c r="B60" s="12"/>
      <c r="C60" s="6"/>
      <c r="D60" s="12" t="s">
        <v>21</v>
      </c>
      <c r="E60" s="38">
        <f>SUM(E58:E59)</f>
        <v>0</v>
      </c>
      <c r="F60" s="38">
        <f>SUM(F58:F59)</f>
        <v>0</v>
      </c>
      <c r="G60" s="38">
        <f>SUM(G58:G59)</f>
        <v>0</v>
      </c>
      <c r="H60" s="38">
        <f>SUM(H58:H59)</f>
        <v>1690709.68</v>
      </c>
      <c r="I60" s="38">
        <f>I58</f>
        <v>1394512.9699999986</v>
      </c>
      <c r="J60" s="1"/>
    </row>
    <row r="61" spans="1:10" ht="24.75" thickBot="1" thickTop="1">
      <c r="A61" s="22"/>
      <c r="B61" s="12"/>
      <c r="C61" s="6"/>
      <c r="D61" s="12" t="s">
        <v>19</v>
      </c>
      <c r="E61" s="39">
        <f>E60+E55</f>
        <v>14855920</v>
      </c>
      <c r="F61" s="39">
        <f>F60+F55</f>
        <v>0</v>
      </c>
      <c r="G61" s="39">
        <f>G60+G55</f>
        <v>0</v>
      </c>
      <c r="H61" s="39">
        <f>H60+H55</f>
        <v>13461407.030000001</v>
      </c>
      <c r="I61" s="39">
        <f>E61-H61</f>
        <v>1394512.9699999988</v>
      </c>
      <c r="J61" s="1"/>
    </row>
    <row r="62" spans="1:9" s="53" customFormat="1" ht="24" thickTop="1">
      <c r="A62" s="74"/>
      <c r="B62" s="72"/>
      <c r="C62" s="73"/>
      <c r="D62" s="72"/>
      <c r="E62" s="75"/>
      <c r="F62" s="75"/>
      <c r="G62" s="75"/>
      <c r="H62" s="75"/>
      <c r="I62" s="75"/>
    </row>
    <row r="63" spans="1:10" s="53" customFormat="1" ht="23.25" customHeight="1">
      <c r="A63" s="84"/>
      <c r="B63" s="82"/>
      <c r="C63" s="83"/>
      <c r="D63" s="96"/>
      <c r="E63" s="93"/>
      <c r="F63" s="93"/>
      <c r="G63" s="93"/>
      <c r="H63" s="93"/>
      <c r="I63" s="93"/>
      <c r="J63" s="76"/>
    </row>
    <row r="64" spans="1:10" ht="23.25">
      <c r="A64" s="14"/>
      <c r="B64" s="14"/>
      <c r="C64" s="9"/>
      <c r="D64" s="14" t="s">
        <v>20</v>
      </c>
      <c r="E64" s="18"/>
      <c r="F64" s="18"/>
      <c r="G64" s="18"/>
      <c r="H64" s="18"/>
      <c r="I64" s="18">
        <f>I61</f>
        <v>1394512.9699999988</v>
      </c>
      <c r="J64" s="1"/>
    </row>
    <row r="65" spans="1:10" s="208" customFormat="1" ht="23.25" customHeight="1">
      <c r="A65" s="212" t="s">
        <v>29</v>
      </c>
      <c r="B65" s="209">
        <v>5</v>
      </c>
      <c r="C65" s="322" t="s">
        <v>370</v>
      </c>
      <c r="D65" s="213" t="s">
        <v>44</v>
      </c>
      <c r="E65" s="211">
        <v>4069794</v>
      </c>
      <c r="F65" s="211"/>
      <c r="G65" s="211"/>
      <c r="H65" s="211"/>
      <c r="I65" s="211">
        <f>I64+E65-H65</f>
        <v>5464306.969999999</v>
      </c>
      <c r="J65" s="207"/>
    </row>
    <row r="66" spans="1:10" s="208" customFormat="1" ht="23.25" customHeight="1">
      <c r="A66" s="212"/>
      <c r="B66" s="209"/>
      <c r="C66" s="213" t="s">
        <v>371</v>
      </c>
      <c r="D66" s="210" t="s">
        <v>372</v>
      </c>
      <c r="E66" s="211"/>
      <c r="F66" s="211"/>
      <c r="G66" s="211"/>
      <c r="H66" s="211"/>
      <c r="I66" s="211"/>
      <c r="J66" s="207"/>
    </row>
    <row r="67" spans="1:10" ht="23.25">
      <c r="A67" s="22"/>
      <c r="B67" s="12">
        <v>16</v>
      </c>
      <c r="C67" s="6" t="s">
        <v>381</v>
      </c>
      <c r="D67" s="44" t="s">
        <v>341</v>
      </c>
      <c r="E67" s="16"/>
      <c r="F67" s="16"/>
      <c r="G67" s="16"/>
      <c r="H67" s="16">
        <v>1644733.33</v>
      </c>
      <c r="I67" s="16">
        <f>I65-H67</f>
        <v>3819573.6399999987</v>
      </c>
      <c r="J67" s="1"/>
    </row>
    <row r="68" spans="1:10" ht="23.25">
      <c r="A68" s="22"/>
      <c r="B68" s="72"/>
      <c r="C68" s="73"/>
      <c r="D68" s="80"/>
      <c r="E68" s="75"/>
      <c r="F68" s="75"/>
      <c r="G68" s="75"/>
      <c r="H68" s="75"/>
      <c r="I68" s="75"/>
      <c r="J68" s="1"/>
    </row>
    <row r="69" spans="1:9" ht="23.25" customHeight="1" thickBot="1">
      <c r="A69" s="12"/>
      <c r="B69" s="12"/>
      <c r="C69" s="6"/>
      <c r="D69" s="12" t="s">
        <v>21</v>
      </c>
      <c r="E69" s="38">
        <f>SUM(E65:E68)</f>
        <v>4069794</v>
      </c>
      <c r="F69" s="38">
        <f>SUM(F67:F68)</f>
        <v>0</v>
      </c>
      <c r="G69" s="38">
        <f>SUM(G67:G68)</f>
        <v>0</v>
      </c>
      <c r="H69" s="38">
        <f>SUM(H67:H68)</f>
        <v>1644733.33</v>
      </c>
      <c r="I69" s="38">
        <f>I67</f>
        <v>3819573.6399999987</v>
      </c>
    </row>
    <row r="70" spans="1:10" ht="24.75" thickBot="1" thickTop="1">
      <c r="A70" s="22"/>
      <c r="B70" s="12"/>
      <c r="C70" s="6"/>
      <c r="D70" s="12" t="s">
        <v>19</v>
      </c>
      <c r="E70" s="39">
        <f>E69+E61</f>
        <v>18925714</v>
      </c>
      <c r="F70" s="39">
        <f>F69+F61</f>
        <v>0</v>
      </c>
      <c r="G70" s="39">
        <f>G69+G61</f>
        <v>0</v>
      </c>
      <c r="H70" s="39">
        <f>H69+H61</f>
        <v>15106140.360000001</v>
      </c>
      <c r="I70" s="39">
        <f>E70-H70</f>
        <v>3819573.6399999987</v>
      </c>
      <c r="J70" s="1"/>
    </row>
    <row r="71" spans="1:9" ht="23.25" customHeight="1" thickTop="1">
      <c r="A71" s="22"/>
      <c r="B71" s="12"/>
      <c r="C71" s="6"/>
      <c r="D71" s="12"/>
      <c r="E71" s="16"/>
      <c r="F71" s="16"/>
      <c r="G71" s="16"/>
      <c r="H71" s="16"/>
      <c r="I71" s="16"/>
    </row>
    <row r="72" spans="1:9" ht="23.25" customHeight="1">
      <c r="A72" s="14"/>
      <c r="B72" s="14"/>
      <c r="C72" s="9"/>
      <c r="D72" s="14" t="s">
        <v>20</v>
      </c>
      <c r="E72" s="18"/>
      <c r="F72" s="18"/>
      <c r="G72" s="18"/>
      <c r="H72" s="18"/>
      <c r="I72" s="18">
        <f>I70</f>
        <v>3819573.6399999987</v>
      </c>
    </row>
    <row r="73" spans="1:9" ht="23.25" customHeight="1">
      <c r="A73" s="22" t="s">
        <v>30</v>
      </c>
      <c r="B73" s="12">
        <v>17</v>
      </c>
      <c r="C73" s="20" t="s">
        <v>397</v>
      </c>
      <c r="D73" s="44" t="s">
        <v>373</v>
      </c>
      <c r="E73" s="16"/>
      <c r="F73" s="16"/>
      <c r="G73" s="16"/>
      <c r="H73" s="16">
        <v>1698000</v>
      </c>
      <c r="I73" s="16">
        <f>I72+E73-H73</f>
        <v>2121573.6399999987</v>
      </c>
    </row>
    <row r="74" spans="1:9" ht="23.25" customHeight="1">
      <c r="A74" s="22"/>
      <c r="B74" s="12"/>
      <c r="C74" s="20" t="s">
        <v>398</v>
      </c>
      <c r="D74" s="44" t="s">
        <v>341</v>
      </c>
      <c r="E74" s="16"/>
      <c r="F74" s="16"/>
      <c r="G74" s="16"/>
      <c r="H74" s="16">
        <v>23666.66</v>
      </c>
      <c r="I74" s="16">
        <f>I73+E74-H74</f>
        <v>2097906.9799999986</v>
      </c>
    </row>
    <row r="75" spans="1:10" ht="23.25">
      <c r="A75" s="22"/>
      <c r="B75" s="12"/>
      <c r="C75" s="20"/>
      <c r="D75" s="22"/>
      <c r="E75" s="16"/>
      <c r="F75" s="16"/>
      <c r="G75" s="16"/>
      <c r="H75" s="16"/>
      <c r="I75" s="16"/>
      <c r="J75" s="1"/>
    </row>
    <row r="76" spans="1:10" ht="24" thickBot="1">
      <c r="A76" s="12"/>
      <c r="B76" s="12"/>
      <c r="C76" s="6"/>
      <c r="D76" s="12" t="s">
        <v>21</v>
      </c>
      <c r="E76" s="38">
        <f>SUM(E73:E75)</f>
        <v>0</v>
      </c>
      <c r="F76" s="38">
        <f>SUM(F73:F75)</f>
        <v>0</v>
      </c>
      <c r="G76" s="38">
        <f>SUM(G73:G75)</f>
        <v>0</v>
      </c>
      <c r="H76" s="38">
        <f>SUM(H73:H75)</f>
        <v>1721666.66</v>
      </c>
      <c r="I76" s="38">
        <f>I74</f>
        <v>2097906.9799999986</v>
      </c>
      <c r="J76" s="1"/>
    </row>
    <row r="77" spans="1:9" ht="23.25" customHeight="1" thickBot="1" thickTop="1">
      <c r="A77" s="32"/>
      <c r="B77" s="13"/>
      <c r="C77" s="10"/>
      <c r="D77" s="13" t="s">
        <v>19</v>
      </c>
      <c r="E77" s="39">
        <f>E76+E70</f>
        <v>18925714</v>
      </c>
      <c r="F77" s="39">
        <f>F76+F70</f>
        <v>0</v>
      </c>
      <c r="G77" s="39">
        <f>G76+G70</f>
        <v>0</v>
      </c>
      <c r="H77" s="39">
        <f>H76+H70</f>
        <v>16827807.02</v>
      </c>
      <c r="I77" s="39">
        <f>E77-H77</f>
        <v>2097906.9800000004</v>
      </c>
    </row>
    <row r="78" spans="1:9" ht="23.25" customHeight="1" thickTop="1">
      <c r="A78" s="14"/>
      <c r="B78" s="14"/>
      <c r="C78" s="9"/>
      <c r="D78" s="14" t="s">
        <v>20</v>
      </c>
      <c r="E78" s="18"/>
      <c r="F78" s="18"/>
      <c r="G78" s="18"/>
      <c r="H78" s="18"/>
      <c r="I78" s="18">
        <f>I77</f>
        <v>2097906.9800000004</v>
      </c>
    </row>
    <row r="79" spans="1:9" ht="23.25" customHeight="1">
      <c r="A79" s="22" t="s">
        <v>423</v>
      </c>
      <c r="B79" s="12">
        <v>18</v>
      </c>
      <c r="C79" s="6" t="s">
        <v>425</v>
      </c>
      <c r="D79" s="44" t="s">
        <v>424</v>
      </c>
      <c r="E79" s="16"/>
      <c r="F79" s="16"/>
      <c r="G79" s="16"/>
      <c r="H79" s="16">
        <v>1752096.77</v>
      </c>
      <c r="I79" s="16">
        <f>I78-H79</f>
        <v>345810.2100000004</v>
      </c>
    </row>
    <row r="80" spans="1:10" ht="23.25">
      <c r="A80" s="22"/>
      <c r="B80" s="12"/>
      <c r="C80" s="6" t="s">
        <v>426</v>
      </c>
      <c r="D80" s="44" t="s">
        <v>427</v>
      </c>
      <c r="E80" s="16"/>
      <c r="F80" s="16"/>
      <c r="G80" s="16"/>
      <c r="H80" s="16">
        <v>95500</v>
      </c>
      <c r="I80" s="16">
        <f>I79-H80</f>
        <v>250310.21000000043</v>
      </c>
      <c r="J80" s="362"/>
    </row>
    <row r="81" spans="1:10" ht="23.25">
      <c r="A81" s="22"/>
      <c r="B81" s="12">
        <v>30</v>
      </c>
      <c r="C81" s="6"/>
      <c r="D81" s="44" t="s">
        <v>448</v>
      </c>
      <c r="E81" s="16"/>
      <c r="F81" s="16"/>
      <c r="G81" s="16"/>
      <c r="H81" s="16">
        <v>250310.21</v>
      </c>
      <c r="I81" s="16">
        <v>0</v>
      </c>
      <c r="J81" s="362"/>
    </row>
    <row r="82" spans="1:10" ht="23.25">
      <c r="A82" s="22"/>
      <c r="B82" s="12"/>
      <c r="C82" s="6"/>
      <c r="D82" s="20"/>
      <c r="E82" s="16"/>
      <c r="F82" s="16"/>
      <c r="G82" s="16"/>
      <c r="H82" s="16"/>
      <c r="I82" s="16"/>
      <c r="J82" s="362"/>
    </row>
    <row r="83" spans="1:9" ht="23.25" customHeight="1" thickBot="1">
      <c r="A83" s="12"/>
      <c r="B83" s="12"/>
      <c r="C83" s="6"/>
      <c r="D83" s="12" t="s">
        <v>21</v>
      </c>
      <c r="E83" s="38">
        <f>SUM(E79:E82)</f>
        <v>0</v>
      </c>
      <c r="F83" s="38">
        <f>SUM(F79:F82)</f>
        <v>0</v>
      </c>
      <c r="G83" s="38">
        <f>SUM(G79:G82)</f>
        <v>0</v>
      </c>
      <c r="H83" s="38">
        <f>SUM(H79:H82)</f>
        <v>2097906.98</v>
      </c>
      <c r="I83" s="38">
        <f>I81</f>
        <v>0</v>
      </c>
    </row>
    <row r="84" spans="1:10" ht="24.75" thickBot="1" thickTop="1">
      <c r="A84" s="22"/>
      <c r="B84" s="12"/>
      <c r="C84" s="6"/>
      <c r="D84" s="12" t="s">
        <v>19</v>
      </c>
      <c r="E84" s="39">
        <f>E83+E77</f>
        <v>18925714</v>
      </c>
      <c r="F84" s="39">
        <f>F83+F77</f>
        <v>0</v>
      </c>
      <c r="G84" s="39">
        <f>G83+G77</f>
        <v>0</v>
      </c>
      <c r="H84" s="39">
        <f>H83+H77</f>
        <v>18925714</v>
      </c>
      <c r="I84" s="39">
        <f>E84-H84</f>
        <v>0</v>
      </c>
      <c r="J84" s="1"/>
    </row>
    <row r="85" spans="1:10" s="53" customFormat="1" ht="23.25" customHeight="1" thickTop="1">
      <c r="A85" s="74"/>
      <c r="B85" s="72"/>
      <c r="C85" s="73"/>
      <c r="D85" s="72"/>
      <c r="E85" s="75"/>
      <c r="F85" s="75"/>
      <c r="G85" s="75"/>
      <c r="H85" s="75"/>
      <c r="I85" s="75"/>
      <c r="J85" s="76"/>
    </row>
    <row r="86" spans="1:10" s="53" customFormat="1" ht="23.25" customHeight="1">
      <c r="A86" s="14"/>
      <c r="B86" s="86"/>
      <c r="C86" s="87"/>
      <c r="D86" s="86"/>
      <c r="E86" s="81"/>
      <c r="F86" s="81"/>
      <c r="G86" s="81"/>
      <c r="H86" s="81"/>
      <c r="I86" s="81"/>
      <c r="J86" s="76"/>
    </row>
    <row r="87" spans="1:9" ht="23.25" customHeight="1">
      <c r="A87" s="22"/>
      <c r="B87" s="72"/>
      <c r="C87" s="78"/>
      <c r="D87" s="92"/>
      <c r="E87" s="75"/>
      <c r="F87" s="75"/>
      <c r="G87" s="75"/>
      <c r="H87" s="75"/>
      <c r="I87" s="75"/>
    </row>
    <row r="88" spans="1:10" s="53" customFormat="1" ht="23.25" customHeight="1">
      <c r="A88" s="22"/>
      <c r="B88" s="72"/>
      <c r="C88" s="80"/>
      <c r="D88" s="92"/>
      <c r="E88" s="75"/>
      <c r="F88" s="75"/>
      <c r="G88" s="75"/>
      <c r="H88" s="75"/>
      <c r="I88" s="75"/>
      <c r="J88" s="76"/>
    </row>
    <row r="89" spans="1:10" ht="23.25">
      <c r="A89" s="22"/>
      <c r="B89" s="72"/>
      <c r="C89" s="78"/>
      <c r="D89" s="92"/>
      <c r="E89" s="75"/>
      <c r="F89" s="75"/>
      <c r="G89" s="75"/>
      <c r="H89" s="75"/>
      <c r="I89" s="75"/>
      <c r="J89" s="1"/>
    </row>
    <row r="90" spans="1:10" ht="23.25">
      <c r="A90" s="74"/>
      <c r="B90" s="72"/>
      <c r="C90" s="80"/>
      <c r="D90" s="94"/>
      <c r="E90" s="202"/>
      <c r="F90" s="202"/>
      <c r="G90" s="202"/>
      <c r="H90" s="202"/>
      <c r="I90" s="202"/>
      <c r="J90" s="1"/>
    </row>
    <row r="91" spans="1:9" ht="23.25">
      <c r="A91" s="12"/>
      <c r="B91" s="72"/>
      <c r="C91" s="73"/>
      <c r="D91" s="72"/>
      <c r="E91" s="75"/>
      <c r="F91" s="75"/>
      <c r="G91" s="75"/>
      <c r="H91" s="75"/>
      <c r="I91" s="75"/>
    </row>
    <row r="92" spans="1:9" ht="23.25">
      <c r="A92" s="32"/>
      <c r="B92" s="82"/>
      <c r="C92" s="83"/>
      <c r="D92" s="82"/>
      <c r="E92" s="93"/>
      <c r="F92" s="93"/>
      <c r="G92" s="93"/>
      <c r="H92" s="93"/>
      <c r="I92" s="93"/>
    </row>
    <row r="93" spans="2:9" ht="23.25">
      <c r="B93" s="53"/>
      <c r="C93" s="53"/>
      <c r="D93" s="53"/>
      <c r="E93" s="53"/>
      <c r="F93" s="53"/>
      <c r="G93" s="53"/>
      <c r="H93" s="53"/>
      <c r="I93" s="53"/>
    </row>
    <row r="94" spans="2:9" ht="23.25">
      <c r="B94" s="53"/>
      <c r="C94" s="53"/>
      <c r="D94" s="53"/>
      <c r="E94" s="53"/>
      <c r="F94" s="53"/>
      <c r="G94" s="53"/>
      <c r="H94" s="53"/>
      <c r="I94" s="53"/>
    </row>
  </sheetData>
  <sheetProtection/>
  <mergeCells count="8">
    <mergeCell ref="A1:H1"/>
    <mergeCell ref="E6:I6"/>
    <mergeCell ref="C6:C7"/>
    <mergeCell ref="D6:D7"/>
    <mergeCell ref="A2:I2"/>
    <mergeCell ref="A3:I3"/>
    <mergeCell ref="A4:I4"/>
    <mergeCell ref="A5:I5"/>
  </mergeCells>
  <printOptions/>
  <pageMargins left="0.15748031496062992" right="0.15748031496062992" top="0.7874015748031497" bottom="0.5905511811023623" header="0.5118110236220472" footer="0.5118110236220472"/>
  <pageSetup horizontalDpi="180" verticalDpi="180" orientation="landscape" paperSize="9" r:id="rId1"/>
  <headerFooter alignWithMargins="0">
    <oddFooter>&amp;C&amp;"AngsanaUPC,ตัวปกติ"&amp;14หน้า &amp;P</oddFooter>
  </headerFooter>
  <ignoredErrors>
    <ignoredError sqref="I12" evalError="1"/>
    <ignoredError sqref="I19" formula="1"/>
    <ignoredError sqref="C15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29">
      <selection activeCell="G49" sqref="G49"/>
    </sheetView>
  </sheetViews>
  <sheetFormatPr defaultColWidth="9.140625" defaultRowHeight="23.25" customHeight="1"/>
  <cols>
    <col min="1" max="1" width="10.00390625" style="1" customWidth="1"/>
    <col min="2" max="2" width="4.00390625" style="1" customWidth="1"/>
    <col min="3" max="3" width="13.8515625" style="1" customWidth="1"/>
    <col min="4" max="4" width="46.421875" style="1" customWidth="1"/>
    <col min="5" max="9" width="14.28125" style="1" customWidth="1"/>
    <col min="10" max="10" width="13.140625" style="25" customWidth="1"/>
    <col min="11" max="16384" width="9.140625" style="1" customWidth="1"/>
  </cols>
  <sheetData>
    <row r="1" spans="1:10" s="2" customFormat="1" ht="27" customHeight="1">
      <c r="A1" s="365" t="s">
        <v>14</v>
      </c>
      <c r="B1" s="365"/>
      <c r="C1" s="365"/>
      <c r="D1" s="365"/>
      <c r="E1" s="365"/>
      <c r="F1" s="365"/>
      <c r="G1" s="365"/>
      <c r="H1" s="365"/>
      <c r="I1" s="8" t="s">
        <v>12</v>
      </c>
      <c r="J1" s="24"/>
    </row>
    <row r="2" spans="1:14" ht="23.25">
      <c r="A2" s="374" t="s">
        <v>38</v>
      </c>
      <c r="B2" s="374"/>
      <c r="C2" s="374"/>
      <c r="D2" s="374"/>
      <c r="E2" s="374"/>
      <c r="F2" s="374"/>
      <c r="G2" s="374"/>
      <c r="H2" s="374"/>
      <c r="I2" s="374"/>
      <c r="J2" s="33"/>
      <c r="K2" s="33"/>
      <c r="L2" s="33"/>
      <c r="M2" s="33"/>
      <c r="N2" s="33"/>
    </row>
    <row r="3" spans="1:14" ht="23.25">
      <c r="A3" s="375" t="s">
        <v>39</v>
      </c>
      <c r="B3" s="375"/>
      <c r="C3" s="375"/>
      <c r="D3" s="375"/>
      <c r="E3" s="375"/>
      <c r="F3" s="375"/>
      <c r="G3" s="375"/>
      <c r="H3" s="375"/>
      <c r="I3" s="375"/>
      <c r="J3" s="34"/>
      <c r="K3" s="34"/>
      <c r="L3" s="34"/>
      <c r="M3" s="34"/>
      <c r="N3" s="34"/>
    </row>
    <row r="4" spans="1:14" ht="23.25">
      <c r="A4" s="374" t="s">
        <v>163</v>
      </c>
      <c r="B4" s="374"/>
      <c r="C4" s="374"/>
      <c r="D4" s="374"/>
      <c r="E4" s="374"/>
      <c r="F4" s="374"/>
      <c r="G4" s="374"/>
      <c r="H4" s="374"/>
      <c r="I4" s="374"/>
      <c r="J4" s="33"/>
      <c r="K4" s="33"/>
      <c r="L4" s="33"/>
      <c r="M4" s="33"/>
      <c r="N4" s="33"/>
    </row>
    <row r="5" spans="1:14" ht="23.25">
      <c r="A5" s="376" t="s">
        <v>169</v>
      </c>
      <c r="B5" s="376"/>
      <c r="C5" s="376"/>
      <c r="D5" s="376"/>
      <c r="E5" s="376"/>
      <c r="F5" s="376"/>
      <c r="G5" s="376"/>
      <c r="H5" s="376"/>
      <c r="I5" s="376"/>
      <c r="J5" s="34"/>
      <c r="K5" s="34"/>
      <c r="L5" s="34"/>
      <c r="M5" s="34"/>
      <c r="N5" s="34"/>
    </row>
    <row r="6" spans="1:10" s="30" customFormat="1" ht="23.25" customHeight="1">
      <c r="A6" s="7" t="s">
        <v>0</v>
      </c>
      <c r="B6" s="4"/>
      <c r="C6" s="378" t="s">
        <v>3</v>
      </c>
      <c r="D6" s="378" t="s">
        <v>4</v>
      </c>
      <c r="E6" s="371" t="s">
        <v>10</v>
      </c>
      <c r="F6" s="372"/>
      <c r="G6" s="372"/>
      <c r="H6" s="372"/>
      <c r="I6" s="373"/>
      <c r="J6" s="29"/>
    </row>
    <row r="7" spans="1:10" s="30" customFormat="1" ht="23.25" customHeight="1">
      <c r="A7" s="4" t="s">
        <v>1</v>
      </c>
      <c r="B7" s="35" t="s">
        <v>2</v>
      </c>
      <c r="C7" s="379"/>
      <c r="D7" s="379"/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29"/>
    </row>
    <row r="8" spans="1:9" ht="23.25" customHeight="1">
      <c r="A8" s="27" t="s">
        <v>15</v>
      </c>
      <c r="B8" s="27">
        <v>12</v>
      </c>
      <c r="C8" s="26" t="s">
        <v>164</v>
      </c>
      <c r="D8" s="40" t="s">
        <v>42</v>
      </c>
      <c r="E8" s="41">
        <v>1792433</v>
      </c>
      <c r="F8" s="41"/>
      <c r="G8" s="41"/>
      <c r="H8" s="41"/>
      <c r="I8" s="41">
        <f>E8</f>
        <v>1792433</v>
      </c>
    </row>
    <row r="9" spans="1:9" ht="23.25" customHeight="1">
      <c r="A9" s="12"/>
      <c r="B9" s="12"/>
      <c r="C9" s="6" t="s">
        <v>165</v>
      </c>
      <c r="D9" s="6"/>
      <c r="E9" s="16"/>
      <c r="F9" s="16"/>
      <c r="G9" s="16"/>
      <c r="H9" s="16"/>
      <c r="I9" s="16"/>
    </row>
    <row r="10" spans="1:10" ht="24" thickBot="1">
      <c r="A10" s="12"/>
      <c r="B10" s="12"/>
      <c r="C10" s="6"/>
      <c r="D10" s="12" t="s">
        <v>21</v>
      </c>
      <c r="E10" s="38">
        <f>SUM(E8:E9)</f>
        <v>1792433</v>
      </c>
      <c r="F10" s="38">
        <f>SUM(F8:F9)</f>
        <v>0</v>
      </c>
      <c r="G10" s="38">
        <f>SUM(G8:G9)</f>
        <v>0</v>
      </c>
      <c r="H10" s="38">
        <f>SUM(H8:H9)</f>
        <v>0</v>
      </c>
      <c r="I10" s="38">
        <f>I8</f>
        <v>1792433</v>
      </c>
      <c r="J10" s="1"/>
    </row>
    <row r="11" spans="1:10" ht="24.75" thickBot="1" thickTop="1">
      <c r="A11" s="22"/>
      <c r="B11" s="12"/>
      <c r="C11" s="6"/>
      <c r="D11" s="12" t="s">
        <v>19</v>
      </c>
      <c r="E11" s="39">
        <f>E10</f>
        <v>1792433</v>
      </c>
      <c r="F11" s="39">
        <f>F10</f>
        <v>0</v>
      </c>
      <c r="G11" s="39">
        <f>G10</f>
        <v>0</v>
      </c>
      <c r="H11" s="39">
        <f>H10</f>
        <v>0</v>
      </c>
      <c r="I11" s="39">
        <f>E11-H11</f>
        <v>1792433</v>
      </c>
      <c r="J11" s="1"/>
    </row>
    <row r="12" spans="1:9" ht="23.25" customHeight="1" thickTop="1">
      <c r="A12" s="12"/>
      <c r="B12" s="12"/>
      <c r="C12" s="6"/>
      <c r="D12" s="12"/>
      <c r="E12" s="16"/>
      <c r="F12" s="16"/>
      <c r="G12" s="16"/>
      <c r="H12" s="16"/>
      <c r="I12" s="16"/>
    </row>
    <row r="13" spans="1:9" ht="23.25" customHeight="1">
      <c r="A13" s="12"/>
      <c r="B13" s="12"/>
      <c r="C13" s="6"/>
      <c r="D13" s="43" t="s">
        <v>20</v>
      </c>
      <c r="E13" s="16"/>
      <c r="F13" s="16"/>
      <c r="G13" s="16"/>
      <c r="H13" s="16"/>
      <c r="I13" s="16">
        <f>I11</f>
        <v>1792433</v>
      </c>
    </row>
    <row r="14" spans="1:9" ht="23.25" customHeight="1">
      <c r="A14" s="22" t="s">
        <v>23</v>
      </c>
      <c r="B14" s="12">
        <v>14</v>
      </c>
      <c r="C14" s="6" t="s">
        <v>63</v>
      </c>
      <c r="D14" s="6" t="s">
        <v>192</v>
      </c>
      <c r="E14" s="16"/>
      <c r="F14" s="16"/>
      <c r="G14" s="16"/>
      <c r="H14" s="16">
        <v>1792433</v>
      </c>
      <c r="I14" s="16">
        <f>I13-H14</f>
        <v>0</v>
      </c>
    </row>
    <row r="15" spans="1:9" ht="23.25" customHeight="1">
      <c r="A15" s="22"/>
      <c r="B15" s="12"/>
      <c r="C15" s="6"/>
      <c r="D15" s="6"/>
      <c r="E15" s="16"/>
      <c r="F15" s="16"/>
      <c r="G15" s="16"/>
      <c r="H15" s="16"/>
      <c r="I15" s="16"/>
    </row>
    <row r="16" spans="1:10" ht="24" thickBot="1">
      <c r="A16" s="12"/>
      <c r="B16" s="12"/>
      <c r="C16" s="6"/>
      <c r="D16" s="12" t="s">
        <v>21</v>
      </c>
      <c r="E16" s="38">
        <f>SUM(E14:E15)</f>
        <v>0</v>
      </c>
      <c r="F16" s="38">
        <f>SUM(F14:F15)</f>
        <v>0</v>
      </c>
      <c r="G16" s="38">
        <f>SUM(G14:G15)</f>
        <v>0</v>
      </c>
      <c r="H16" s="38">
        <f>SUM(H14:H15)</f>
        <v>1792433</v>
      </c>
      <c r="I16" s="38">
        <f>I14</f>
        <v>0</v>
      </c>
      <c r="J16" s="1"/>
    </row>
    <row r="17" spans="1:10" ht="24.75" thickBot="1" thickTop="1">
      <c r="A17" s="22"/>
      <c r="B17" s="12"/>
      <c r="C17" s="6"/>
      <c r="D17" s="12" t="s">
        <v>19</v>
      </c>
      <c r="E17" s="39">
        <f>E11+E16</f>
        <v>1792433</v>
      </c>
      <c r="F17" s="39">
        <f>F11+F16</f>
        <v>0</v>
      </c>
      <c r="G17" s="39">
        <f>G11+G16</f>
        <v>0</v>
      </c>
      <c r="H17" s="39">
        <f>H11+H16</f>
        <v>1792433</v>
      </c>
      <c r="I17" s="39">
        <f>E17-H17</f>
        <v>0</v>
      </c>
      <c r="J17" s="1"/>
    </row>
    <row r="18" spans="1:10" s="53" customFormat="1" ht="23.25" customHeight="1" thickTop="1">
      <c r="A18" s="72"/>
      <c r="B18" s="72"/>
      <c r="C18" s="73"/>
      <c r="D18" s="72"/>
      <c r="E18" s="75"/>
      <c r="F18" s="75"/>
      <c r="G18" s="75"/>
      <c r="H18" s="75"/>
      <c r="I18" s="75"/>
      <c r="J18" s="76"/>
    </row>
    <row r="19" spans="1:10" s="53" customFormat="1" ht="23.25" customHeight="1">
      <c r="A19" s="72"/>
      <c r="B19" s="72"/>
      <c r="C19" s="73"/>
      <c r="D19" s="72"/>
      <c r="E19" s="75"/>
      <c r="F19" s="75"/>
      <c r="G19" s="75"/>
      <c r="H19" s="75"/>
      <c r="I19" s="75"/>
      <c r="J19" s="76"/>
    </row>
    <row r="20" spans="1:10" s="53" customFormat="1" ht="23.25" customHeight="1">
      <c r="A20" s="82"/>
      <c r="B20" s="82"/>
      <c r="C20" s="83"/>
      <c r="D20" s="82"/>
      <c r="E20" s="93"/>
      <c r="F20" s="93"/>
      <c r="G20" s="93"/>
      <c r="H20" s="93"/>
      <c r="I20" s="93"/>
      <c r="J20" s="76"/>
    </row>
    <row r="21" spans="1:9" s="208" customFormat="1" ht="23.25">
      <c r="A21" s="203"/>
      <c r="B21" s="204"/>
      <c r="C21" s="205"/>
      <c r="D21" s="327" t="s">
        <v>20</v>
      </c>
      <c r="E21" s="329"/>
      <c r="F21" s="329"/>
      <c r="G21" s="329"/>
      <c r="H21" s="329"/>
      <c r="I21" s="329">
        <f>I17</f>
        <v>0</v>
      </c>
    </row>
    <row r="22" spans="1:9" s="208" customFormat="1" ht="23.25">
      <c r="A22" s="212" t="s">
        <v>25</v>
      </c>
      <c r="B22" s="209">
        <v>31</v>
      </c>
      <c r="C22" s="322" t="s">
        <v>243</v>
      </c>
      <c r="D22" s="205" t="s">
        <v>242</v>
      </c>
      <c r="E22" s="206">
        <v>847836</v>
      </c>
      <c r="F22" s="206"/>
      <c r="G22" s="206"/>
      <c r="H22" s="206"/>
      <c r="I22" s="206">
        <f>E22-H22</f>
        <v>847836</v>
      </c>
    </row>
    <row r="23" spans="1:9" s="208" customFormat="1" ht="23.25">
      <c r="A23" s="212"/>
      <c r="B23" s="209"/>
      <c r="C23" s="210" t="s">
        <v>244</v>
      </c>
      <c r="D23" s="210"/>
      <c r="E23" s="211"/>
      <c r="F23" s="211"/>
      <c r="G23" s="211"/>
      <c r="H23" s="211"/>
      <c r="I23" s="211"/>
    </row>
    <row r="24" spans="1:9" s="208" customFormat="1" ht="24" thickBot="1">
      <c r="A24" s="209"/>
      <c r="B24" s="209"/>
      <c r="C24" s="210"/>
      <c r="D24" s="209" t="s">
        <v>21</v>
      </c>
      <c r="E24" s="214">
        <f>SUM(E22:E23)</f>
        <v>847836</v>
      </c>
      <c r="F24" s="214">
        <f>SUM(F22:F23)</f>
        <v>0</v>
      </c>
      <c r="G24" s="214">
        <f>SUM(G22:G23)</f>
        <v>0</v>
      </c>
      <c r="H24" s="214">
        <f>SUM(H22:H23)</f>
        <v>0</v>
      </c>
      <c r="I24" s="214">
        <f>I22</f>
        <v>847836</v>
      </c>
    </row>
    <row r="25" spans="1:9" s="208" customFormat="1" ht="24.75" thickBot="1" thickTop="1">
      <c r="A25" s="212"/>
      <c r="B25" s="209"/>
      <c r="C25" s="210"/>
      <c r="D25" s="209" t="s">
        <v>19</v>
      </c>
      <c r="E25" s="215">
        <f>E17+E24</f>
        <v>2640269</v>
      </c>
      <c r="F25" s="215">
        <f>F17+F24</f>
        <v>0</v>
      </c>
      <c r="G25" s="215">
        <f>G17+G24</f>
        <v>0</v>
      </c>
      <c r="H25" s="215">
        <f>H17+H24</f>
        <v>1792433</v>
      </c>
      <c r="I25" s="215">
        <f>E25-H25</f>
        <v>847836</v>
      </c>
    </row>
    <row r="26" spans="1:9" s="208" customFormat="1" ht="24" thickTop="1">
      <c r="A26" s="212"/>
      <c r="B26" s="209"/>
      <c r="C26" s="210"/>
      <c r="D26" s="209"/>
      <c r="E26" s="218"/>
      <c r="F26" s="218"/>
      <c r="G26" s="218"/>
      <c r="H26" s="218"/>
      <c r="I26" s="218"/>
    </row>
    <row r="27" spans="1:10" s="208" customFormat="1" ht="23.25" customHeight="1">
      <c r="A27" s="209"/>
      <c r="B27" s="209"/>
      <c r="C27" s="210"/>
      <c r="D27" s="209" t="s">
        <v>20</v>
      </c>
      <c r="E27" s="211"/>
      <c r="F27" s="211"/>
      <c r="G27" s="211"/>
      <c r="H27" s="211"/>
      <c r="I27" s="211">
        <f>I25</f>
        <v>847836</v>
      </c>
      <c r="J27" s="207"/>
    </row>
    <row r="28" spans="1:9" s="208" customFormat="1" ht="23.25">
      <c r="A28" s="212" t="s">
        <v>27</v>
      </c>
      <c r="B28" s="209">
        <v>18</v>
      </c>
      <c r="C28" s="210" t="s">
        <v>303</v>
      </c>
      <c r="D28" s="210" t="s">
        <v>251</v>
      </c>
      <c r="E28" s="211"/>
      <c r="F28" s="211"/>
      <c r="G28" s="211"/>
      <c r="H28" s="211">
        <v>847836</v>
      </c>
      <c r="I28" s="206">
        <f>I27+E28-H28</f>
        <v>0</v>
      </c>
    </row>
    <row r="29" spans="1:10" s="208" customFormat="1" ht="23.25" customHeight="1">
      <c r="A29" s="209"/>
      <c r="B29" s="209"/>
      <c r="C29" s="210"/>
      <c r="D29" s="209"/>
      <c r="E29" s="211"/>
      <c r="F29" s="211"/>
      <c r="G29" s="211"/>
      <c r="H29" s="211"/>
      <c r="I29" s="211"/>
      <c r="J29" s="207"/>
    </row>
    <row r="30" spans="1:9" s="208" customFormat="1" ht="24" thickBot="1">
      <c r="A30" s="209"/>
      <c r="B30" s="209"/>
      <c r="C30" s="210"/>
      <c r="D30" s="209" t="s">
        <v>21</v>
      </c>
      <c r="E30" s="214">
        <f>SUM(E28:E29)</f>
        <v>0</v>
      </c>
      <c r="F30" s="214">
        <f>SUM(F28:F29)</f>
        <v>0</v>
      </c>
      <c r="G30" s="214">
        <f>SUM(G28:G29)</f>
        <v>0</v>
      </c>
      <c r="H30" s="214">
        <f>SUM(H28:H29)</f>
        <v>847836</v>
      </c>
      <c r="I30" s="214">
        <f>I28</f>
        <v>0</v>
      </c>
    </row>
    <row r="31" spans="1:9" s="208" customFormat="1" ht="24.75" thickBot="1" thickTop="1">
      <c r="A31" s="212"/>
      <c r="B31" s="209"/>
      <c r="C31" s="210"/>
      <c r="D31" s="209" t="s">
        <v>19</v>
      </c>
      <c r="E31" s="215">
        <f>E25+E30</f>
        <v>2640269</v>
      </c>
      <c r="F31" s="215">
        <f>F25+F30</f>
        <v>0</v>
      </c>
      <c r="G31" s="215">
        <f>G25+G30</f>
        <v>0</v>
      </c>
      <c r="H31" s="215">
        <f>H25+H30</f>
        <v>2640269</v>
      </c>
      <c r="I31" s="215">
        <f>E31-H31</f>
        <v>0</v>
      </c>
    </row>
    <row r="32" spans="1:9" s="53" customFormat="1" ht="24" thickTop="1">
      <c r="A32" s="90"/>
      <c r="B32" s="91"/>
      <c r="C32" s="92"/>
      <c r="D32" s="91"/>
      <c r="E32" s="79"/>
      <c r="F32" s="79"/>
      <c r="G32" s="79"/>
      <c r="H32" s="79"/>
      <c r="I32" s="79"/>
    </row>
    <row r="33" spans="1:10" s="53" customFormat="1" ht="23.25" customHeight="1">
      <c r="A33" s="82"/>
      <c r="B33" s="82"/>
      <c r="C33" s="83"/>
      <c r="D33" s="82"/>
      <c r="E33" s="93"/>
      <c r="F33" s="93"/>
      <c r="G33" s="93"/>
      <c r="H33" s="93"/>
      <c r="I33" s="93"/>
      <c r="J33" s="76"/>
    </row>
    <row r="34" spans="1:10" s="352" customFormat="1" ht="23.25" customHeight="1">
      <c r="A34" s="126"/>
      <c r="B34" s="126"/>
      <c r="C34" s="40"/>
      <c r="D34" s="126" t="s">
        <v>20</v>
      </c>
      <c r="E34" s="41"/>
      <c r="F34" s="41"/>
      <c r="G34" s="41"/>
      <c r="H34" s="41"/>
      <c r="I34" s="41">
        <f>I31</f>
        <v>0</v>
      </c>
      <c r="J34" s="351"/>
    </row>
    <row r="35" spans="1:10" s="352" customFormat="1" ht="23.25" customHeight="1">
      <c r="A35" s="22" t="s">
        <v>365</v>
      </c>
      <c r="B35" s="12">
        <v>30</v>
      </c>
      <c r="C35" s="26" t="s">
        <v>367</v>
      </c>
      <c r="D35" s="6" t="s">
        <v>369</v>
      </c>
      <c r="E35" s="16">
        <v>847835</v>
      </c>
      <c r="F35" s="16"/>
      <c r="G35" s="16"/>
      <c r="H35" s="16"/>
      <c r="I35" s="16">
        <f>I34+E35</f>
        <v>847835</v>
      </c>
      <c r="J35" s="351" t="s">
        <v>366</v>
      </c>
    </row>
    <row r="36" spans="1:10" s="352" customFormat="1" ht="23.25" customHeight="1">
      <c r="A36" s="22"/>
      <c r="B36" s="12"/>
      <c r="C36" s="6" t="s">
        <v>368</v>
      </c>
      <c r="D36" s="6"/>
      <c r="E36" s="16"/>
      <c r="F36" s="16"/>
      <c r="G36" s="16"/>
      <c r="H36" s="16"/>
      <c r="I36" s="16"/>
      <c r="J36" s="351"/>
    </row>
    <row r="37" spans="1:9" s="352" customFormat="1" ht="24" thickBot="1">
      <c r="A37" s="12"/>
      <c r="B37" s="12"/>
      <c r="C37" s="6"/>
      <c r="D37" s="12" t="s">
        <v>21</v>
      </c>
      <c r="E37" s="38">
        <f>SUM(E35:E36)</f>
        <v>847835</v>
      </c>
      <c r="F37" s="38">
        <f>SUM(F35:F36)</f>
        <v>0</v>
      </c>
      <c r="G37" s="38">
        <f>SUM(G35:G36)</f>
        <v>0</v>
      </c>
      <c r="H37" s="38">
        <f>SUM(H35:H36)</f>
        <v>0</v>
      </c>
      <c r="I37" s="38">
        <f>I35</f>
        <v>847835</v>
      </c>
    </row>
    <row r="38" spans="1:9" s="352" customFormat="1" ht="24.75" thickBot="1" thickTop="1">
      <c r="A38" s="22"/>
      <c r="B38" s="12"/>
      <c r="C38" s="6"/>
      <c r="D38" s="12" t="s">
        <v>19</v>
      </c>
      <c r="E38" s="39">
        <f>E31+E37</f>
        <v>3488104</v>
      </c>
      <c r="F38" s="39">
        <f>F33+F37</f>
        <v>0</v>
      </c>
      <c r="G38" s="39">
        <f>G33+G37</f>
        <v>0</v>
      </c>
      <c r="H38" s="39">
        <f>H31+H37</f>
        <v>2640269</v>
      </c>
      <c r="I38" s="39">
        <f>E38-H38</f>
        <v>847835</v>
      </c>
    </row>
    <row r="39" spans="1:9" s="53" customFormat="1" ht="24" thickTop="1">
      <c r="A39" s="74"/>
      <c r="B39" s="72"/>
      <c r="C39" s="73"/>
      <c r="D39" s="73"/>
      <c r="E39" s="75"/>
      <c r="F39" s="75"/>
      <c r="G39" s="75"/>
      <c r="H39" s="75"/>
      <c r="I39" s="75"/>
    </row>
    <row r="40" spans="1:10" ht="23.25">
      <c r="A40" s="22"/>
      <c r="B40" s="12"/>
      <c r="C40" s="6"/>
      <c r="D40" s="22" t="s">
        <v>20</v>
      </c>
      <c r="E40" s="16"/>
      <c r="F40" s="16"/>
      <c r="G40" s="16"/>
      <c r="H40" s="16"/>
      <c r="I40" s="16">
        <f>I38</f>
        <v>847835</v>
      </c>
      <c r="J40" s="1"/>
    </row>
    <row r="41" spans="1:10" ht="23.25">
      <c r="A41" s="22" t="s">
        <v>29</v>
      </c>
      <c r="B41" s="12">
        <v>16</v>
      </c>
      <c r="C41" s="6" t="s">
        <v>391</v>
      </c>
      <c r="D41" s="20" t="s">
        <v>392</v>
      </c>
      <c r="E41" s="16"/>
      <c r="F41" s="16"/>
      <c r="G41" s="16"/>
      <c r="H41" s="16">
        <v>847835</v>
      </c>
      <c r="I41" s="16">
        <f>I40+E41-H41</f>
        <v>0</v>
      </c>
      <c r="J41" s="1"/>
    </row>
    <row r="42" spans="1:10" ht="23.25">
      <c r="A42" s="12"/>
      <c r="B42" s="12"/>
      <c r="C42" s="6"/>
      <c r="D42" s="12"/>
      <c r="E42" s="16"/>
      <c r="F42" s="16"/>
      <c r="G42" s="16"/>
      <c r="H42" s="16"/>
      <c r="I42" s="16"/>
      <c r="J42" s="1"/>
    </row>
    <row r="43" spans="1:10" ht="24" thickBot="1">
      <c r="A43" s="12"/>
      <c r="B43" s="12"/>
      <c r="C43" s="6"/>
      <c r="D43" s="12" t="s">
        <v>21</v>
      </c>
      <c r="E43" s="38">
        <f>SUM(E40:E42)</f>
        <v>0</v>
      </c>
      <c r="F43" s="38">
        <f>SUM(F40:F42)</f>
        <v>0</v>
      </c>
      <c r="G43" s="38">
        <f>SUM(G40:G42)</f>
        <v>0</v>
      </c>
      <c r="H43" s="38">
        <f>SUM(H40:H42)</f>
        <v>847835</v>
      </c>
      <c r="I43" s="38">
        <f>I40</f>
        <v>847835</v>
      </c>
      <c r="J43" s="1"/>
    </row>
    <row r="44" spans="1:10" ht="24.75" thickBot="1" thickTop="1">
      <c r="A44" s="22"/>
      <c r="B44" s="12"/>
      <c r="C44" s="6"/>
      <c r="D44" s="12" t="s">
        <v>19</v>
      </c>
      <c r="E44" s="39">
        <f>E38+E43</f>
        <v>3488104</v>
      </c>
      <c r="F44" s="39">
        <f>F38+F43</f>
        <v>0</v>
      </c>
      <c r="G44" s="39">
        <f>G38+G43</f>
        <v>0</v>
      </c>
      <c r="H44" s="39">
        <f>H38+H43</f>
        <v>3488104</v>
      </c>
      <c r="I44" s="39">
        <f>E44-H44</f>
        <v>0</v>
      </c>
      <c r="J44" s="1"/>
    </row>
    <row r="45" spans="1:10" s="53" customFormat="1" ht="23.25" customHeight="1" thickTop="1">
      <c r="A45" s="72"/>
      <c r="B45" s="72"/>
      <c r="C45" s="73"/>
      <c r="D45" s="72"/>
      <c r="E45" s="75"/>
      <c r="F45" s="75"/>
      <c r="G45" s="75"/>
      <c r="H45" s="75"/>
      <c r="I45" s="75"/>
      <c r="J45" s="76"/>
    </row>
    <row r="46" spans="1:10" s="53" customFormat="1" ht="23.25" customHeight="1">
      <c r="A46" s="84"/>
      <c r="B46" s="82"/>
      <c r="C46" s="83"/>
      <c r="D46" s="82"/>
      <c r="E46" s="93"/>
      <c r="F46" s="93"/>
      <c r="G46" s="93"/>
      <c r="H46" s="93"/>
      <c r="I46" s="93"/>
      <c r="J46" s="76"/>
    </row>
    <row r="48" ht="23.25" customHeight="1">
      <c r="H48" s="25">
        <v>498791.85</v>
      </c>
    </row>
    <row r="49" ht="23.25" customHeight="1">
      <c r="H49" s="25">
        <f>SUM(H44:H48)</f>
        <v>3986895.85</v>
      </c>
    </row>
  </sheetData>
  <sheetProtection/>
  <mergeCells count="8">
    <mergeCell ref="A1:H1"/>
    <mergeCell ref="C6:C7"/>
    <mergeCell ref="D6:D7"/>
    <mergeCell ref="E6:I6"/>
    <mergeCell ref="A2:I2"/>
    <mergeCell ref="A3:I3"/>
    <mergeCell ref="A4:I4"/>
    <mergeCell ref="A5:I5"/>
  </mergeCells>
  <printOptions/>
  <pageMargins left="0.15748031496062992" right="0.15748031496062992" top="0.7874015748031497" bottom="0.7874015748031497" header="0.5118110236220472" footer="0.5118110236220472"/>
  <pageSetup horizontalDpi="180" verticalDpi="180" orientation="landscape" paperSize="9" r:id="rId1"/>
  <headerFooter alignWithMargins="0">
    <oddFooter>&amp;C&amp;"Angsana New,ธรรมดา"&amp;14หน้า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prachomklao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paym_off8</dc:creator>
  <cp:keywords/>
  <dc:description/>
  <cp:lastModifiedBy>psycho</cp:lastModifiedBy>
  <cp:lastPrinted>2022-12-23T03:47:51Z</cp:lastPrinted>
  <dcterms:created xsi:type="dcterms:W3CDTF">2006-01-25T07:50:25Z</dcterms:created>
  <dcterms:modified xsi:type="dcterms:W3CDTF">2022-12-27T07:02:44Z</dcterms:modified>
  <cp:category/>
  <cp:version/>
  <cp:contentType/>
  <cp:contentStatus/>
</cp:coreProperties>
</file>